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7.xml.rels" ContentType="application/vnd.openxmlformats-package.relationships+xml"/>
  <Override PartName="/xl/worksheets/_rels/sheet6.xml.rels" ContentType="application/vnd.openxmlformats-package.relationships+xml"/>
  <Override PartName="/xl/worksheets/_rels/sheet5.xml.rels" ContentType="application/vnd.openxmlformats-package.relationships+xml"/>
  <Override PartName="/xl/worksheets/_rels/sheet4.xml.rels" ContentType="application/vnd.openxmlformats-package.relationship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Inicio" sheetId="1" state="visible" r:id="rId3"/>
    <sheet name="Guía de Uso" sheetId="2" state="visible" r:id="rId4"/>
    <sheet name="Matriz de Riesgo" sheetId="3" state="visible" r:id="rId5"/>
    <sheet name="Checklist Evidencia" sheetId="4" state="visible" r:id="rId6"/>
    <sheet name="Alertas" sheetId="5" state="visible" r:id="rId7"/>
    <sheet name="Resultados" sheetId="6" state="visible" r:id="rId8"/>
    <sheet name="Metodología y Fuentes" sheetId="7" state="visible" r:id="rId9"/>
  </sheets>
  <definedNames>
    <definedName function="false" hidden="true" localSheetId="3" name="_xlnm._FilterDatabase" vbProcedure="false">'Checklist Evidencia'!$A$4:$H$30</definedName>
    <definedName function="false" hidden="true" localSheetId="2" name="_xlnm._FilterDatabase" vbProcedure="false">'Matriz de Riesgo'!$A$4:$Q$23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<sst xmlns="http://schemas.openxmlformats.org/spreadsheetml/2006/main" count="456" uniqueCount="305">
  <si>
    <t xml:space="preserve">MATRIZ DE RIESGO REPUTACIONAL EMPRESARIAL</t>
  </si>
  <si>
    <t xml:space="preserve">CÓMO USAR ESTA HERRAMIENTA — 3 PASOS</t>
  </si>
  <si>
    <t xml:space="preserve">1</t>
  </si>
  <si>
    <t xml:space="preserve">Captura en la Matriz — Abre "Matriz de Riesgo" y elige, para cada riesgo, la Probabilidad y el Impacto (celdas amarillas). El Nivel de Riesgo se calcula solo.</t>
  </si>
  <si>
    <t xml:space="preserve">2</t>
  </si>
  <si>
    <t xml:space="preserve">Marca el Checklist — Abre "Checklist Evidencia" y marca el Estatus de cada documento (celda amarilla): Completo, En proceso, Pendiente o No aplica.</t>
  </si>
  <si>
    <t xml:space="preserve">3</t>
  </si>
  <si>
    <t xml:space="preserve">Consulta Resultados — Abre "Resultados": el Riesgo Residual, la Prioridad y los indicadores se recalculan solos a partir de lo que capturaste. No necesitas escribir nada ahí.</t>
  </si>
  <si>
    <t xml:space="preserve">CÓDIGO DE COLORES</t>
  </si>
  <si>
    <t xml:space="preserve">  </t>
  </si>
  <si>
    <t xml:space="preserve">Celda amarilla</t>
  </si>
  <si>
    <t xml:space="preserve">Aquí capturas tú (Probabilidad, Impacto o Estatus). Todo lo demás se calcula solo.</t>
  </si>
  <si>
    <t xml:space="preserve">Rojo</t>
  </si>
  <si>
    <t xml:space="preserve">Riesgo o estatus Alto / Pendiente — atender de inmediato.</t>
  </si>
  <si>
    <t xml:space="preserve">Ámbar</t>
  </si>
  <si>
    <t xml:space="preserve">Riesgo o estatus Medio / En proceso — dar seguimiento.</t>
  </si>
  <si>
    <t xml:space="preserve">Verde</t>
  </si>
  <si>
    <t xml:space="preserve">Riesgo o estatus Bajo / Completo — bajo control.</t>
  </si>
  <si>
    <t xml:space="preserve">IR DIRECTAMENTE A:</t>
  </si>
  <si>
    <t xml:space="preserve">📘  Guía de Uso</t>
  </si>
  <si>
    <t xml:space="preserve">Explicación completa de la herramienta: estructura, código de colores, cálculo del riesgo y preguntas frecuentes.</t>
  </si>
  <si>
    <t xml:space="preserve">📋  Matriz de Riesgo</t>
  </si>
  <si>
    <t xml:space="preserve">Los 19 riesgos reputacionales, su fuente de exposición y la estrategia de mitigación recomendada.</t>
  </si>
  <si>
    <t xml:space="preserve">✅  Checklist Evidencia</t>
  </si>
  <si>
    <t xml:space="preserve">Los documentos y elementos de preparación que sostienen la mitigación frente a cada riesgo, con fecha límite opcional.</t>
  </si>
  <si>
    <t xml:space="preserve">🔔  Alertas</t>
  </si>
  <si>
    <t xml:space="preserve">Riesgos que requieren atención inmediata y documentos vencidos — se genera solo.</t>
  </si>
  <si>
    <t xml:space="preserve">📊  Resultados</t>
  </si>
  <si>
    <t xml:space="preserve">Indicadores, prioridad de atención y avance — todo calculado en automático.</t>
  </si>
  <si>
    <t xml:space="preserve">📖  Metodología y Fuentes</t>
  </si>
  <si>
    <t xml:space="preserve">Cómo se calculan los niveles de riesgo y qué fuentes y tendencias se consultaron.</t>
  </si>
  <si>
    <t xml:space="preserve">GUÍA DE USO — MATRIZ DE RIESGO REPUTACIONAL EMPRESARIAL</t>
  </si>
  <si>
    <t xml:space="preserve">🏠 Inicio</t>
  </si>
  <si>
    <t xml:space="preserve">1. ESTRUCTURA DE ESTE ARCHIVO (5 HOJAS)</t>
  </si>
  <si>
    <t xml:space="preserve">Solo dos hojas requieren que el usuario escriba algo; las otras tres se calculan y muestran información automáticamente.</t>
  </si>
  <si>
    <t xml:space="preserve">Hoja</t>
  </si>
  <si>
    <t xml:space="preserve">¿Se captura ahí?</t>
  </si>
  <si>
    <t xml:space="preserve">Para qué sirve</t>
  </si>
  <si>
    <t xml:space="preserve">Inicio</t>
  </si>
  <si>
    <t xml:space="preserve">No</t>
  </si>
  <si>
    <t xml:space="preserve">Portada de navegación: guía de 3 pasos, código de colores y accesos directos a las demás hojas.</t>
  </si>
  <si>
    <t xml:space="preserve">Matriz de Riesgo</t>
  </si>
  <si>
    <t xml:space="preserve">Sí (Probabilidad e Impacto)</t>
  </si>
  <si>
    <t xml:space="preserve">Los 19 riesgos reputacionales, su fuente de exposición y la estrategia de mitigación recomendada. El Nivel de Riesgo, el Riesgo Residual, la Prioridad y el Estado se calculan solos.</t>
  </si>
  <si>
    <t xml:space="preserve">Checklist Evidencia</t>
  </si>
  <si>
    <t xml:space="preserve">Sí (Estatus)</t>
  </si>
  <si>
    <t xml:space="preserve">Documentos y elementos de preparación vinculados a cada riesgo. Al marcar el Estatus, la Matriz recalcula el riesgo residual de ese riesgo.</t>
  </si>
  <si>
    <t xml:space="preserve">Resultados</t>
  </si>
  <si>
    <t xml:space="preserve">Tablero dinámico: indicadores generales, orden de prioridad y avance de preparación por bloque. Se actualiza solo.</t>
  </si>
  <si>
    <t xml:space="preserve">Metodología y Fuentes</t>
  </si>
  <si>
    <t xml:space="preserve">Explica cómo se calculan los niveles de riesgo y qué fuentes y tendencias se consultaron.</t>
  </si>
  <si>
    <t xml:space="preserve">2. CÓDIGO DE COLORES</t>
  </si>
  <si>
    <t xml:space="preserve">Color</t>
  </si>
  <si>
    <t xml:space="preserve">Significado</t>
  </si>
  <si>
    <t xml:space="preserve">Qué indica</t>
  </si>
  <si>
    <t xml:space="preserve">Amarillo</t>
  </si>
  <si>
    <t xml:space="preserve">Celda de captura</t>
  </si>
  <si>
    <t xml:space="preserve">Aquí escribe o elige el usuario (Probabilidad, Impacto o Estatus). Todo lo demás se calcula solo.</t>
  </si>
  <si>
    <t xml:space="preserve">Alto / Pendiente / Atender ya</t>
  </si>
  <si>
    <t xml:space="preserve">Riesgo residual Alto, estatus "Pendiente" o estado "Atender ya": requiere atención inmediata.</t>
  </si>
  <si>
    <t xml:space="preserve">Medio / En proceso / En seguimiento</t>
  </si>
  <si>
    <t xml:space="preserve">Riesgo residual Medio, estatus "En proceso" o estado "En seguimiento": requiere dar seguimiento.</t>
  </si>
  <si>
    <t xml:space="preserve">Bajo / Completo / Controlado</t>
  </si>
  <si>
    <t xml:space="preserve">Riesgo residual Bajo, estatus "Completo" o estado "Controlado": bajo control.</t>
  </si>
  <si>
    <t xml:space="preserve">3. CÓMO SE CALCULA EL RIESGO</t>
  </si>
  <si>
    <t xml:space="preserve">1. Nivel de Riesgo (inherente): Probabilidad (Alta=3, Media=2, Baja=1) × Impacto (Alto=3, Medio=2, Bajo=1). ≥6 = Alto | 3-5 = Medio | ≤2 = Bajo.</t>
  </si>
  <si>
    <t xml:space="preserve">2. Documentos vinculados y completos: la Matriz cuenta, para cada riesgo, cuántos documentos del Checklist están relacionados y cuántos ya están "Completo".</t>
  </si>
  <si>
    <t xml:space="preserve">3. % de avance documental: proporción de documentos completos sobre los vinculados a ese riesgo.</t>
  </si>
  <si>
    <t xml:space="preserve">4. Riesgo Residual: reduce el Nivel de Riesgo inherente hasta en 50% conforme aumenta el % de avance documental. Sin documentos completos, el riesgo residual es igual al inherente.</t>
  </si>
  <si>
    <t xml:space="preserve">5. Prioridad y Estado de atención: la Prioridad ordena los riesgos de mayor a menor urgencia (1 = más urgente); el Estado traduce el riesgo residual en Alto="Atender ya", Medio="En seguimiento", Bajo="Controlado".</t>
  </si>
  <si>
    <t xml:space="preserve">Basta con actualizar el Estatus en el Checklist para que toda la Matriz y la hoja de Resultados se recalculen solas.</t>
  </si>
  <si>
    <t xml:space="preserve">4. OBJETIVO DE ESTA MATRIZ</t>
  </si>
  <si>
    <t xml:space="preserve">Identificar y priorizar los riesgos que pueden afectar la reputación de una empresa —desde la conducta de sus directivos hasta su exposición digital, su gobierno corporativo y su seguridad de la información— y sostener la estrategia de mitigación y comunicación con evidencia de preparación verificable.</t>
  </si>
  <si>
    <t xml:space="preserve">5. BLOQUES DE RIESGO</t>
  </si>
  <si>
    <t xml:space="preserve">Bloque</t>
  </si>
  <si>
    <t xml:space="preserve">Contenido</t>
  </si>
  <si>
    <t xml:space="preserve">A</t>
  </si>
  <si>
    <t xml:space="preserve">Liderazgo, ética y conducta de directivos: vinculación mediática de socios o directivos, ausencia de comité de crisis, incoherencia entre discurso y práctica.</t>
  </si>
  <si>
    <t xml:space="preserve">B</t>
  </si>
  <si>
    <t xml:space="preserve">Comunicación digital, redes sociales y crisis virales: viralización de errores, ausencia de monitoreo, silencio corporativo, desinformación, cancelación social.</t>
  </si>
  <si>
    <t xml:space="preserve">C</t>
  </si>
  <si>
    <t xml:space="preserve">Gobierno corporativo, cumplimiento y ESG/sostenibilidad: greenwashing, debida diligencia de proveedores, acoso y discriminación, seguridad ocupacional.</t>
  </si>
  <si>
    <t xml:space="preserve">D</t>
  </si>
  <si>
    <t xml:space="preserve">Seguridad de la información, datos y continuidad operativa: filtración de datos, uso de inteligencia artificial, interrupciones estructurales, litigios mediáticos.</t>
  </si>
  <si>
    <t xml:space="preserve">6. PASOS DE USO</t>
  </si>
  <si>
    <t xml:space="preserve">1. Abre "Matriz de Riesgo": para cada riesgo, elige Probabilidad e Impacto (celdas amarillas E:F). El Nivel de Riesgo se calcula solo.</t>
  </si>
  <si>
    <t xml:space="preserve">2. Abre "Checklist Evidencia": marca el Estatus (celda amarilla, columna E) de cada documento o elemento de preparación. Usa Observaciones para detalles relevantes.</t>
  </si>
  <si>
    <t xml:space="preserve">3. Abre "Resultados": consulta el riesgo residual global, la prioridad de atención y el avance de preparación por bloque — no necesitas escribir nada ahí.</t>
  </si>
  <si>
    <t xml:space="preserve">7. RECOMENDACIONES DE USO</t>
  </si>
  <si>
    <t xml:space="preserve">• Involucra a comunicación, cumplimiento y seguridad de la información al capturar la Matriz: varios riesgos son transversales a distintas áreas de la empresa.</t>
  </si>
  <si>
    <t xml:space="preserve">• Revisa y recaptura la Probabilidad y el Impacto cada vez que ocurra un evento relevante (cambio regulatorio, incidente digital, cobertura mediática), ya que el riesgo reputacional cambia con mayor velocidad que otros riesgos.</t>
  </si>
  <si>
    <t xml:space="preserve">• Usa la hoja "Resultados" como base de un reporte periódico (mensual o trimestral) al comité de crisis o al órgano de gobierno corporativo.</t>
  </si>
  <si>
    <t xml:space="preserve">8. PREGUNTAS FRECUENTES</t>
  </si>
  <si>
    <t xml:space="preserve">¿Qué pasa si cambio la Probabilidad o el Impacto de un riesgo?</t>
  </si>
  <si>
    <t xml:space="preserve">El Nivel de Riesgo, el Riesgo Residual, la Prioridad y el Estado de ese renglón se recalculan de inmediato, y los indicadores de "Resultados" también se actualizan.</t>
  </si>
  <si>
    <t xml:space="preserve">¿Qué significa "N/D" en % Avance documental?</t>
  </si>
  <si>
    <t xml:space="preserve">Ese riesgo no tiene ningún documento del Checklist vinculado en "Relacionado con"; el Riesgo Residual se mantiene igual al Nivel de Riesgo inherente.</t>
  </si>
  <si>
    <t xml:space="preserve">¿Puedo agregar más riesgos o documentos?</t>
  </si>
  <si>
    <t xml:space="preserve">Sí, pero al usar fórmulas con referencias de fila, cualquier fila nueva debe agregarse o revisarse por quien administra el archivo, para conservar la vinculación entre hojas.</t>
  </si>
  <si>
    <t xml:space="preserve">¿Necesito escribir algo en "Resultados"?</t>
  </si>
  <si>
    <t xml:space="preserve">No. Esa hoja se alimenta por completo de la Matriz y el Checklist; no tiene celdas de captura.</t>
  </si>
  <si>
    <t xml:space="preserve">9. BUENAS PRÁCTICAS DE MANTENIMIENTO</t>
  </si>
  <si>
    <t xml:space="preserve">• Conserva una copia maestra sin capturar (en blanco) y trabaja siempre sobre una copia por empresa evaluada.</t>
  </si>
  <si>
    <t xml:space="preserve">• No elimines ni reordenes las columnas L a R de "Matriz de Riesgo" (algunas ocultas): ahí viven las fórmulas que vinculan la Matriz con el Checklist.</t>
  </si>
  <si>
    <t xml:space="preserve">• Si un riesgo deja de aplicar, usa "No aplica" en los documentos correspondientes en vez de eliminar filas, para no romper las referencias.</t>
  </si>
  <si>
    <t xml:space="preserve">• Actualiza "Metodología y Fuentes" cuando cambie una tendencia o fuente citada, para que la Matriz se mantenga vigente.</t>
  </si>
  <si>
    <t xml:space="preserve">Actualización: agosto 2026  —  Solo captura Probabilidad e Impacto (celdas amarillas E:F); el Nivel de Riesgo, el Riesgo Residual y la Prioridad de atención se calculan solos</t>
  </si>
  <si>
    <t xml:space="preserve">No.</t>
  </si>
  <si>
    <t xml:space="preserve">Área / Tema</t>
  </si>
  <si>
    <t xml:space="preserve">Riesgo específico para la empresa</t>
  </si>
  <si>
    <t xml:space="preserve">Fuente de exposición / Criterio o evidencia reciente</t>
  </si>
  <si>
    <t xml:space="preserve">Probabilidad</t>
  </si>
  <si>
    <t xml:space="preserve">Impacto</t>
  </si>
  <si>
    <t xml:space="preserve">Nivel de Riesgo</t>
  </si>
  <si>
    <t xml:space="preserve">Estrategia de mitigación / comunicación recomendada</t>
  </si>
  <si>
    <t xml:space="preserve">Ptn.Prob</t>
  </si>
  <si>
    <t xml:space="preserve">Ptn.Imp</t>
  </si>
  <si>
    <t xml:space="preserve">Docs.
vinculados</t>
  </si>
  <si>
    <t xml:space="preserve">Docs.
completos</t>
  </si>
  <si>
    <t xml:space="preserve">% Avance
documental</t>
  </si>
  <si>
    <t xml:space="preserve">Riesgo
Residual</t>
  </si>
  <si>
    <t xml:space="preserve">Prioridad</t>
  </si>
  <si>
    <t xml:space="preserve">Estado de
atención</t>
  </si>
  <si>
    <t xml:space="preserve">A. Liderazgo, ética y conducta de directivos</t>
  </si>
  <si>
    <t xml:space="preserve">Vinculación mediática de socios o directivos con señalamientos de corrupción, lavado de dinero u otros delitos, incluso sin resolución judicial firme: el daño reputacional es inmediato e independiente de la veracidad jurídica.</t>
  </si>
  <si>
    <t xml:space="preserve">Casos recientes de cierre de instituciones financieras y detención de socios de empresas en México tras señalamientos mediáticos (2025-2026)</t>
  </si>
  <si>
    <t xml:space="preserve">Alta</t>
  </si>
  <si>
    <t xml:space="preserve">Alto</t>
  </si>
  <si>
    <t xml:space="preserve">Protocolo de deslinde institucional inmediato; separación clara entre la conducta individual y la marca; comunicado con hechos verificables y asesoría legal y de comunicación coordinada desde la primera hora.</t>
  </si>
  <si>
    <t xml:space="preserve">Ausencia de comité de crisis y de protocolo de vocería previamente definidos: la improvisación durante la crisis profundiza el daño reputacional.</t>
  </si>
  <si>
    <t xml:space="preserve">Tendencias de gestión de crisis corporativa en México rumbo a 2026 (seguridad corporativa y vocerías entrenadas)</t>
  </si>
  <si>
    <t xml:space="preserve">Media</t>
  </si>
  <si>
    <t xml:space="preserve">Constitución de un comité de crisis permanente con roles y suplentes; manual de mensajes clave (holding statements); simulacros periódicos de crisis mediática.</t>
  </si>
  <si>
    <t xml:space="preserve">Incoherencia entre el discurso público de la dirección y las prácticas internas (cultura organizacional, clima laboral): los colaboradores se vuelven embajadores involuntarios que exponen malas prácticas.</t>
  </si>
  <si>
    <t xml:space="preserve">Estudios de reputación de marca 2026: la experiencia interna influye directamente en la percepción externa</t>
  </si>
  <si>
    <t xml:space="preserve">Auditoría de coherencia entre política pública y práctica interna; canales de escucha a colaboradores; alineación de mensajes de marca empleadora con la realidad operativa.</t>
  </si>
  <si>
    <t xml:space="preserve">Debilidad del gobierno corporativo frente a riesgos éticos (conflictos de interés, corrupción): estos temas concentran el mayor rechazo social, con más del 95% de menciones negativas en estudios de riesgo reputacional en México.</t>
  </si>
  <si>
    <t xml:space="preserve">Estudio de riesgos reputacionales en México (LLYC, 2025-2026): corrupción corporativa y lavado de activos como tema de mayor polaridad</t>
  </si>
  <si>
    <t xml:space="preserve">Código de ética y política de conflicto de interés con evidencia de cumplimiento; declaración patrimonial de directivos clave; canal de denuncias con seguimiento documentado.</t>
  </si>
  <si>
    <t xml:space="preserve">B. Comunicación digital, redes sociales y crisis virales</t>
  </si>
  <si>
    <t xml:space="preserve">Viralización acelerada de errores operativos o fallas de servicio en redes sociales, con potencial de escalar a tendencia nacional en cuestión de horas.</t>
  </si>
  <si>
    <t xml:space="preserve">Aumento del 120% en consultas corporativas sobre manejo de crisis digital en México; 99% de las conversaciones de marca ocurren en redes (2026)</t>
  </si>
  <si>
    <t xml:space="preserve">Sistema de monitoreo en tiempo real (social listening); protocolo de respuesta con tiempos máximos definidos; entrenamiento de primera línea de atención al cliente.</t>
  </si>
  <si>
    <t xml:space="preserve">Ausencia de monitoreo continuo de menciones de marca en redes sociales y medios digitales que permita detectar una crisis en formación.</t>
  </si>
  <si>
    <t xml:space="preserve">Casi 100 millones de identidades digitales activas en México con más de 25 horas de uso semanal por usuario (2026)</t>
  </si>
  <si>
    <t xml:space="preserve">Medio</t>
  </si>
  <si>
    <t xml:space="preserve">Contratación o implementación de herramienta de social listening; reporte periódico de sentimiento de marca; alertas tempranas ante picos de menciones negativas.</t>
  </si>
  <si>
    <t xml:space="preserve">Silencio corporativo prolongado o respuesta improvisada ante una crisis digital: el silencio tiene un costo reputacional alto y profundiza la narrativa negativa.</t>
  </si>
  <si>
    <t xml:space="preserve">Análisis de gestión de crisis virales 2026: el silencio corporativo como error crítico</t>
  </si>
  <si>
    <t xml:space="preserve">Ventana de respuesta objetivo (p. ej. primeras 2 horas); vocero único capacitado; mensajes de sostén (holding statements) pre-aprobados para uso inmediato.</t>
  </si>
  <si>
    <t xml:space="preserve">Desinformación o noticias falsas sobre la empresa que se difunden más rápido de lo que la organización puede desmentir.</t>
  </si>
  <si>
    <t xml:space="preserve">Dinámicas de desinformación y cancelación social identificadas en el entorno digital 2026</t>
  </si>
  <si>
    <t xml:space="preserve">Protocolo de verificación y desmentido con evidencia; relación previa con medios y fact-checkers; canal oficial de aclaraciones permanentemente actualizado.</t>
  </si>
  <si>
    <t xml:space="preserve">Cancelación social o boicot de consumidores por percepción de incoherencia ética o por una postura pública controvertida de la empresa o sus directivos.</t>
  </si>
  <si>
    <t xml:space="preserve">Tendencias 2026 de reputación de marca: exposición de malas prácticas internas y cancelación social</t>
  </si>
  <si>
    <t xml:space="preserve">Análisis previo de sensibilidad social antes de posturas públicas; comité de revisión de comunicación institucional; estrategia de reconexión con públicos afectados.</t>
  </si>
  <si>
    <t xml:space="preserve">C. Gobierno corporativo, cumplimiento y ESG/sostenibilidad</t>
  </si>
  <si>
    <t xml:space="preserve">Greenwashing: discrepancia entre lo declarado en el informe de sostenibilidad y la práctica real, con riesgo de litigios y sanciones regulatorias; el riesgo reputacional se transforma en riesgo financiero directo.</t>
  </si>
  <si>
    <t xml:space="preserve">Análisis de riesgos empresariales México 2026: discrepancias ASG como fuente de litigio y sanción regulatoria</t>
  </si>
  <si>
    <t xml:space="preserve">Verificación externa (assurance) de los indicadores ESG reportados; trazabilidad documental de cada afirmación de sostenibilidad antes de su publicación.</t>
  </si>
  <si>
    <t xml:space="preserve">Debilidad en la debida diligencia de proveedores y terceros en esquemas de nearshoring: la incorporación acelerada de proveedores locales sin control estricto incrementa la exposición a corrupción y lavado de dinero.</t>
  </si>
  <si>
    <t xml:space="preserve">Riesgos empresariales México 2026: due diligence superficial en cadenas de suministro de nearshoring</t>
  </si>
  <si>
    <t xml:space="preserve">Debida diligencia documentada de proveedores críticos; cláusulas anticorrupción y de cumplimiento en contratos; auditorías periódicas a la cadena de suministro.</t>
  </si>
  <si>
    <t xml:space="preserve">Denuncias de acoso, discriminación o clima laboral tóxico que trascienden a la opinión pública.</t>
  </si>
  <si>
    <t xml:space="preserve">Estudio de riesgos reputacionales México: clima laboral, acoso y discriminación entre los temas de mayor rechazo social</t>
  </si>
  <si>
    <t xml:space="preserve">Política de prevención de acoso y discriminación con evidencia de capacitación; canal de denuncias confidencial con seguimiento documentado y cierre de casos.</t>
  </si>
  <si>
    <t xml:space="preserve">Fallas en seguridad y salud ocupacional que derivan en accidentes con exposición mediática.</t>
  </si>
  <si>
    <t xml:space="preserve">Estudio de riesgos reputacionales México: seguridad y salud ocupacional como detonante de crisis</t>
  </si>
  <si>
    <t xml:space="preserve">Programa de seguridad y salud ocupacional con indicadores auditables; protocolo de comunicación inmediata ante incidentes graves.</t>
  </si>
  <si>
    <t xml:space="preserve">Ausencia de indicadores y evidencia verificable de cumplimiento ESG frente a exigencias crecientes de inversionistas, clientes corporativos y reguladores.</t>
  </si>
  <si>
    <t xml:space="preserve">Tendencias 2026: incorporación del riesgo reputacional como eje del gobierno corporativo</t>
  </si>
  <si>
    <t xml:space="preserve">Tablero de indicadores ESG con evidencia documental; alineación con marcos de reporte reconocidos; revisión periódica por el órgano de gobierno.</t>
  </si>
  <si>
    <t xml:space="preserve">D. Seguridad de la información, datos y continuidad operativa</t>
  </si>
  <si>
    <t xml:space="preserve">Filtración de datos personales de clientes o colaboradores, o ataque cibernético con exposición pública, que impacta la operación y la confianza de consumidores y mercados.</t>
  </si>
  <si>
    <t xml:space="preserve">Foros 2026 sobre ciberseguridad y reputación: pérdida de control de datos como riesgo de marca</t>
  </si>
  <si>
    <t xml:space="preserve">Plan de respuesta a incidentes de ciberseguridad; comunicación proactiva a afectados conforme a la normativa de protección de datos; simulacros de brecha de datos.</t>
  </si>
  <si>
    <t xml:space="preserve">Uso de inteligencia artificial en atención a clientes o toma de decisiones sin política de transparencia, con riesgo reputacional por sesgos, errores o falta de explicabilidad.</t>
  </si>
  <si>
    <t xml:space="preserve">Discusión 2026 sobre gobernanza de IA y confianza de marca en foros de ciberseguridad y comunicación</t>
  </si>
  <si>
    <t xml:space="preserve">Baja</t>
  </si>
  <si>
    <t xml:space="preserve">Política de uso responsable y transparente de IA; supervisión humana de decisiones sensibles; comunicación clara al usuario sobre el uso de IA.</t>
  </si>
  <si>
    <t xml:space="preserve">Interrupciones operativas por factores estructurales (escasez de agua o energía en esquemas de nearshoring) que se perciben públicamente como falta de planeación.</t>
  </si>
  <si>
    <t xml:space="preserve">Riesgos empresariales México 2026: infraestructura insuficiente como riesgo estructural del nearshoring</t>
  </si>
  <si>
    <t xml:space="preserve">Plan de continuidad operativa ante interrupciones estructurales; comunicación proactiva a clientes y comunidad sobre medidas de mitigación.</t>
  </si>
  <si>
    <t xml:space="preserve">Litigios o controversias regulatorias de alto perfil mediático (fiscal, laboral, ambiental) sin estrategia de comunicación coordinada con el área legal.</t>
  </si>
  <si>
    <t xml:space="preserve">Casos 2025-2026 de exposición mediática de controversias regulatorias en México</t>
  </si>
  <si>
    <t xml:space="preserve">Protocolo de coordinación legal-comunicación desde el inicio de cualquier controversia con potencial mediático; mensajes consistentes entre ambas áreas.</t>
  </si>
  <si>
    <t xml:space="preserve">Falta de simulacros y comités de crisis probados: la reputación se juega en la velocidad y consistencia de la respuesta, no solo en el contenido del mensaje.</t>
  </si>
  <si>
    <t xml:space="preserve">Recomendaciones 2026 de seguridad corporativa: preparación con comités de crisis, simulacros y líneas claras de comunicación</t>
  </si>
  <si>
    <t xml:space="preserve">Calendario anual de simulacros de crisis reputacional; evaluación posterior a cada simulacro; actualización del manual de crisis con las lecciones aprendidas.</t>
  </si>
  <si>
    <t xml:space="preserve">CHECKLIST DE EVIDENCIA Y MITIGACIÓN DE RIESGO REPUTACIONAL</t>
  </si>
  <si>
    <t xml:space="preserve">Evidencia y elementos de preparación mínimos recomendados para sostener la estrategia de mitigación frente a cada bloque de riesgo de la Matriz. Solo marca el Estatus y, si aplica, la Fecha límite (celdas amarillas); la Matriz de Riesgo y la hoja de Alertas se actualizan solas.</t>
  </si>
  <si>
    <t xml:space="preserve">Documento, evidencia o elemento de preparación</t>
  </si>
  <si>
    <t xml:space="preserve">Relacionado con (riesgo No.)</t>
  </si>
  <si>
    <t xml:space="preserve">Estatus</t>
  </si>
  <si>
    <t xml:space="preserve">Observaciones</t>
  </si>
  <si>
    <t xml:space="preserve">Fecha límite</t>
  </si>
  <si>
    <t xml:space="preserve">Vencido</t>
  </si>
  <si>
    <t xml:space="preserve">Código de ética y conducta vigente, firmado por directivos y socios</t>
  </si>
  <si>
    <t xml:space="preserve">1,4</t>
  </si>
  <si>
    <t xml:space="preserve">Pendiente</t>
  </si>
  <si>
    <t xml:space="preserve">Política de conflicto de interés y declaración de vínculos de directivos clave</t>
  </si>
  <si>
    <t xml:space="preserve">Protocolo de deslinde institucional ante señalamientos a título personal de directivos o socios</t>
  </si>
  <si>
    <t xml:space="preserve">Comité de crisis constituido, con roles, suplentes y datos de contacto vigentes</t>
  </si>
  <si>
    <t xml:space="preserve">2,19</t>
  </si>
  <si>
    <t xml:space="preserve">Manual de vocería y mensajes clave (holding statements) pre-aprobados</t>
  </si>
  <si>
    <t xml:space="preserve">2,7</t>
  </si>
  <si>
    <t xml:space="preserve">Bitácora de simulacros de crisis reputacional realizados en el último año</t>
  </si>
  <si>
    <t xml:space="preserve">Diagnóstico de coherencia entre discurso público y prácticas internas (clima laboral)</t>
  </si>
  <si>
    <t xml:space="preserve">Herramienta o servicio de monitoreo de menciones (social listening) activo</t>
  </si>
  <si>
    <t xml:space="preserve">5,6</t>
  </si>
  <si>
    <t xml:space="preserve">Manual de gestión de crisis digital con tiempos de respuesta definidos</t>
  </si>
  <si>
    <t xml:space="preserve">5,7</t>
  </si>
  <si>
    <t xml:space="preserve">Directorio de voceros autorizados y evidencia de capacitación en medios</t>
  </si>
  <si>
    <t xml:space="preserve">7</t>
  </si>
  <si>
    <t xml:space="preserve">Política de uso de redes sociales para colaboradores</t>
  </si>
  <si>
    <t xml:space="preserve">3,9</t>
  </si>
  <si>
    <t xml:space="preserve">Protocolo de verificación y desmentido de desinformación</t>
  </si>
  <si>
    <t xml:space="preserve">8</t>
  </si>
  <si>
    <t xml:space="preserve">Estrategia de reconexión con públicos afectados tras una crisis o cancelación social</t>
  </si>
  <si>
    <t xml:space="preserve">9</t>
  </si>
  <si>
    <t xml:space="preserve">Informe de sostenibilidad/ESG con verificación externa (assurance)</t>
  </si>
  <si>
    <t xml:space="preserve">10</t>
  </si>
  <si>
    <t xml:space="preserve">Trazabilidad documental de cada afirmación pública de sostenibilidad</t>
  </si>
  <si>
    <t xml:space="preserve">Política y evidencia de debida diligencia de proveedores y terceros críticos</t>
  </si>
  <si>
    <t xml:space="preserve">11</t>
  </si>
  <si>
    <t xml:space="preserve">Canal de denuncias (whistleblower) operativo con seguimiento y cierre documentado</t>
  </si>
  <si>
    <t xml:space="preserve">4,12</t>
  </si>
  <si>
    <t xml:space="preserve">Política de prevención de acoso y discriminación con evidencia de capacitación</t>
  </si>
  <si>
    <t xml:space="preserve">12</t>
  </si>
  <si>
    <t xml:space="preserve">Programa de seguridad y salud ocupacional con indicadores auditables</t>
  </si>
  <si>
    <t xml:space="preserve">13</t>
  </si>
  <si>
    <t xml:space="preserve">Tablero de indicadores ESG con evidencia documental para inversionistas y clientes</t>
  </si>
  <si>
    <t xml:space="preserve">14</t>
  </si>
  <si>
    <t xml:space="preserve">Plan de respuesta a incidentes de ciberseguridad y protección de datos</t>
  </si>
  <si>
    <t xml:space="preserve">15</t>
  </si>
  <si>
    <t xml:space="preserve">Aviso de privacidad y política de protección de datos personales actualizados</t>
  </si>
  <si>
    <t xml:space="preserve">Política de uso responsable y transparente de inteligencia artificial</t>
  </si>
  <si>
    <t xml:space="preserve">16</t>
  </si>
  <si>
    <t xml:space="preserve">Plan de continuidad operativa ante interrupciones estructurales</t>
  </si>
  <si>
    <t xml:space="preserve">17</t>
  </si>
  <si>
    <t xml:space="preserve">Protocolo de coordinación legal-comunicación para litigios de alto perfil mediático</t>
  </si>
  <si>
    <t xml:space="preserve">18</t>
  </si>
  <si>
    <t xml:space="preserve">Calendario anual de simulacros de crisis con evaluación posterior documentada</t>
  </si>
  <si>
    <t xml:space="preserve">19</t>
  </si>
  <si>
    <t xml:space="preserve">Avance del checklist:</t>
  </si>
  <si>
    <t xml:space="preserve">Documentos vencidos:</t>
  </si>
  <si>
    <t xml:space="preserve">🔔 ALERTAS — RIESGOS Y DOCUMENTOS QUE REQUIEREN ATENCIÓN</t>
  </si>
  <si>
    <t xml:space="preserve">Se genera sola a partir de la Matriz y del Checklist. No requiere captura en esta hoja.</t>
  </si>
  <si>
    <t xml:space="preserve">RIESGOS QUE REQUIEREN ATENCIÓN INMEDIATA (Estado = "Atender ya")</t>
  </si>
  <si>
    <t xml:space="preserve">Riesgo No.</t>
  </si>
  <si>
    <t xml:space="preserve">Área</t>
  </si>
  <si>
    <t xml:space="preserve">Riesgo</t>
  </si>
  <si>
    <t xml:space="preserve">Riesgo Residual</t>
  </si>
  <si>
    <t xml:space="preserve">Estrategia recomendada</t>
  </si>
  <si>
    <t xml:space="preserve">DOCUMENTOS VENCIDOS (Fecha límite superada y no completados)</t>
  </si>
  <si>
    <t xml:space="preserve">Documento</t>
  </si>
  <si>
    <t xml:space="preserve">Relacionado con</t>
  </si>
  <si>
    <t xml:space="preserve">Días de atraso</t>
  </si>
  <si>
    <t xml:space="preserve">RESULTADOS — TABLERO DINÁMICO DE LA MATRIZ</t>
  </si>
  <si>
    <t xml:space="preserve">Se actualiza automáticamente conforme se captura Probabilidad/Impacto en la Matriz de Riesgo y el Estatus en el Checklist de Soporte Documental. No requiere captura en esta hoja.</t>
  </si>
  <si>
    <t xml:space="preserve">1. INDICADORES GENERALES</t>
  </si>
  <si>
    <t xml:space="preserve">Riesgos identificados</t>
  </si>
  <si>
    <t xml:space="preserve">Riesgo residual Alto</t>
  </si>
  <si>
    <t xml:space="preserve">Riesgo residual Medio</t>
  </si>
  <si>
    <t xml:space="preserve">Riesgo residual Bajo</t>
  </si>
  <si>
    <t xml:space="preserve">A atender ya</t>
  </si>
  <si>
    <t xml:space="preserve">Avance documental prom.</t>
  </si>
  <si>
    <t xml:space="preserve">Documentos completos</t>
  </si>
  <si>
    <t xml:space="preserve">2. ORDEN DE PRIORIDAD DE ATENCIÓN</t>
  </si>
  <si>
    <t xml:space="preserve">Estado</t>
  </si>
  <si>
    <t xml:space="preserve">% Avance</t>
  </si>
  <si>
    <t xml:space="preserve">3. RIESGO RESIDUAL POR ÁREA</t>
  </si>
  <si>
    <t xml:space="preserve">Bajo</t>
  </si>
  <si>
    <t xml:space="preserve">Total</t>
  </si>
  <si>
    <t xml:space="preserve">% Avance doc.</t>
  </si>
  <si>
    <t xml:space="preserve">4. AVANCE DEL CHECKLIST POR ÁREA</t>
  </si>
  <si>
    <t xml:space="preserve">Completo</t>
  </si>
  <si>
    <t xml:space="preserve">En proceso</t>
  </si>
  <si>
    <t xml:space="preserve">No aplica</t>
  </si>
  <si>
    <t xml:space="preserve">% Completo</t>
  </si>
  <si>
    <t xml:space="preserve">METODOLOGÍA Y FUENTES</t>
  </si>
  <si>
    <t xml:space="preserve">Escala de Probabilidad</t>
  </si>
  <si>
    <t xml:space="preserve">Alta = 3 pts. | Media = 2 pts. | Baja = 1 pt. Refleja la frecuencia observada de exposición mediática, digital o regulatoria sobre el riesgo correspondiente.</t>
  </si>
  <si>
    <t xml:space="preserve">Escala de Impacto</t>
  </si>
  <si>
    <t xml:space="preserve">Alto = 3 pts. | Medio = 2 pts. | Bajo = 1 pt. Refleja la severidad para la confianza de clientes, inversionistas, colaboradores y autoridades en caso de materializarse el riesgo.</t>
  </si>
  <si>
    <t xml:space="preserve">Producto Probabilidad × Impacto. ≥ 6 = Alto (rojo) | 3 a 5 = Medio (ámbar) | ≤ 2 = Bajo (verde). Calculado automáticamente en la columna G de la Matriz.</t>
  </si>
  <si>
    <t xml:space="preserve">Naturaleza del documento</t>
  </si>
  <si>
    <t xml:space="preserve">Herramienta de trabajo interna para la priorización de estrategias de mitigación y comunicación de crisis. No constituye asesoría legal ni de comunicación definitiva ni sustituye el análisis del caso concreto.</t>
  </si>
  <si>
    <t xml:space="preserve">Riesgo Residual (ejecutable)</t>
  </si>
  <si>
    <t xml:space="preserve">Columna O de la Matriz. Se recalcula en vivo: toma el Nivel de Riesgo inherente (columna G) y lo reduce hasta un 50% en función del % de avance documental del Checklist vinculado a ese riesgo (columna N). A mayor evidencia y preparación documentada, menor riesgo residual.</t>
  </si>
  <si>
    <t xml:space="preserve">Prioridad y Estado de atención</t>
  </si>
  <si>
    <t xml:space="preserve">Columnas P y Q de la Matriz. La Prioridad (1 = más urgente) se calcula por el puntaje de riesgo residual de cada fila. El Estado de atención traduce el Riesgo Residual a una instrucción operativa: Alto = "Atender ya", Medio = "En seguimiento", Bajo = "Controlado".</t>
  </si>
  <si>
    <t xml:space="preserve">Vínculo con el Checklist</t>
  </si>
  <si>
    <t xml:space="preserve">Las columnas L (documentos vinculados) y M (documentos completos) cuentan automáticamente, para cada riesgo, los renglones de la hoja "Checklist de Evidencia y Mitigación" cuya columna "Relacionado con" contiene ese número de riesgo. Basta actualizar el Estatus en el Checklist para que la Matriz recalcule el riesgo residual.</t>
  </si>
  <si>
    <t xml:space="preserve">Corte informativo</t>
  </si>
  <si>
    <t xml:space="preserve">Agosto 2026. La gestión del riesgo reputacional evoluciona rápidamente con el entorno digital y regulatorio (ESG, protección de datos, IA); se recomienda revisar y actualizar el contenido de esta Matriz periódicamente.</t>
  </si>
  <si>
    <t xml:space="preserve">Fuentes principales consultadas</t>
  </si>
  <si>
    <t xml:space="preserve">•</t>
  </si>
  <si>
    <t xml:space="preserve">"La reputación en el nuevo mapa de riesgos empresariales", Excélsior / Revista Mundo Empresarial, diciembre 2025</t>
  </si>
  <si>
    <t xml:space="preserve">"Cinco riesgos que definirán el rumbo empresarial de México en 2026", Expansión, enero 2026 (ASG Risk)</t>
  </si>
  <si>
    <t xml:space="preserve">"Antifragilidad Corporativa: Análisis de riesgos en México", LLYC, noviembre 2025</t>
  </si>
  <si>
    <t xml:space="preserve">"Gestión de crisis digital: Protege tu reputación en redes sociales", EBC, 2026</t>
  </si>
  <si>
    <t xml:space="preserve">"Reputación de marca en 2026: clave estratégica", Blogs Uninter, abril 2026</t>
  </si>
  <si>
    <t xml:space="preserve">"Cómo blindar la reputación empresarial en tiempos de crisis virales", Fast Company México, marzo 2026</t>
  </si>
  <si>
    <t xml:space="preserve">"CNM 2026: Ciberseguridad y reputación", Merca2.0, mayo 2026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</si>
</sst>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General"/>
    <numFmt numFmtId="166" formatCode="0%"/>
    <numFmt numFmtId="167" formatCode="dd/mm/yyyy"/>
  </numFmts>
  <fonts count="2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0"/>
      <color rgb="FFFFFFFF"/>
      <name val="Calibri"/>
      <family val="0"/>
      <charset val="1"/>
    </font>
    <font>
      <b val="true"/>
      <sz val="12"/>
      <color rgb="FFFFFFFF"/>
      <name val="Calibri"/>
      <family val="0"/>
      <charset val="1"/>
    </font>
    <font>
      <b val="true"/>
      <sz val="18"/>
      <color rgb="FFFFFFFF"/>
      <name val="Calibri"/>
      <family val="0"/>
      <charset val="1"/>
    </font>
    <font>
      <sz val="10.5"/>
      <color rgb="FF222222"/>
      <name val="Calibri"/>
      <family val="0"/>
      <charset val="1"/>
    </font>
    <font>
      <b val="true"/>
      <sz val="10"/>
      <color rgb="FF222222"/>
      <name val="Calibri"/>
      <family val="0"/>
      <charset val="1"/>
    </font>
    <font>
      <sz val="10"/>
      <color rgb="FF222222"/>
      <name val="Calibri"/>
      <family val="0"/>
      <charset val="1"/>
    </font>
    <font>
      <b val="true"/>
      <u val="single"/>
      <sz val="11"/>
      <color rgb="FFFFFFFF"/>
      <name val="Calibri"/>
      <family val="0"/>
      <charset val="1"/>
    </font>
    <font>
      <i val="true"/>
      <sz val="10"/>
      <color rgb="FF222222"/>
      <name val="Calibri"/>
      <family val="0"/>
      <charset val="1"/>
    </font>
    <font>
      <b val="true"/>
      <sz val="15"/>
      <color rgb="FFFFFFFF"/>
      <name val="Calibri"/>
      <family val="0"/>
      <charset val="1"/>
    </font>
    <font>
      <b val="true"/>
      <u val="single"/>
      <sz val="10.5"/>
      <color rgb="FFFFFFFF"/>
      <name val="Calibri"/>
      <family val="0"/>
      <charset val="1"/>
    </font>
    <font>
      <b val="true"/>
      <sz val="11.5"/>
      <color rgb="FFFFFFFF"/>
      <name val="Calibri"/>
      <family val="0"/>
      <charset val="1"/>
    </font>
    <font>
      <b val="true"/>
      <sz val="10"/>
      <color rgb="FFFFFFFF"/>
      <name val="Calibri"/>
      <family val="0"/>
      <charset val="1"/>
    </font>
    <font>
      <b val="true"/>
      <sz val="16"/>
      <color rgb="FFFFFFFF"/>
      <name val="Calibri"/>
      <family val="0"/>
      <charset val="1"/>
    </font>
    <font>
      <i val="true"/>
      <sz val="10.5"/>
      <color rgb="FFFFFFFF"/>
      <name val="Calibri"/>
      <family val="0"/>
      <charset val="1"/>
    </font>
    <font>
      <b val="true"/>
      <sz val="10.5"/>
      <color rgb="FFFFFFFF"/>
      <name val="Calibri"/>
      <family val="0"/>
      <charset val="1"/>
    </font>
    <font>
      <b val="true"/>
      <sz val="10.5"/>
      <color rgb="FF222222"/>
      <name val="Calibri"/>
      <family val="0"/>
      <charset val="1"/>
    </font>
    <font>
      <b val="true"/>
      <sz val="10.5"/>
      <color rgb="FFC0392B"/>
      <name val="Calibri"/>
      <family val="0"/>
      <charset val="1"/>
    </font>
    <font>
      <i val="true"/>
      <sz val="10"/>
      <color rgb="FFFFFFFF"/>
      <name val="Calibri"/>
      <family val="0"/>
      <charset val="1"/>
    </font>
    <font>
      <b val="true"/>
      <sz val="11"/>
      <color rgb="FFFFFFFF"/>
      <name val="Calibri"/>
      <family val="0"/>
      <charset val="1"/>
    </font>
    <font>
      <b val="true"/>
      <sz val="9"/>
      <color rgb="FFFFFFFF"/>
      <name val="Calibri"/>
      <family val="0"/>
      <charset val="1"/>
    </font>
    <font>
      <b val="true"/>
      <sz val="14"/>
      <color rgb="FF222222"/>
      <name val="Calibri"/>
      <family val="0"/>
      <charset val="1"/>
    </font>
    <font>
      <b val="true"/>
      <sz val="14"/>
      <color rgb="FFFFFFFF"/>
      <name val="Calibri"/>
      <family val="0"/>
      <charset val="1"/>
    </font>
  </fonts>
  <fills count="12">
    <fill>
      <patternFill patternType="none"/>
    </fill>
    <fill>
      <patternFill patternType="gray125"/>
    </fill>
    <fill>
      <patternFill patternType="solid">
        <fgColor rgb="FF404040"/>
        <bgColor rgb="FF222222"/>
      </patternFill>
    </fill>
    <fill>
      <patternFill patternType="solid">
        <fgColor rgb="FF666666"/>
        <bgColor rgb="FF808080"/>
      </patternFill>
    </fill>
    <fill>
      <patternFill patternType="solid">
        <fgColor rgb="FF808080"/>
        <bgColor rgb="FF969696"/>
      </patternFill>
    </fill>
    <fill>
      <patternFill patternType="solid">
        <fgColor rgb="FFF2F2F2"/>
        <bgColor rgb="FFFFFFFF"/>
      </patternFill>
    </fill>
    <fill>
      <patternFill patternType="solid">
        <fgColor rgb="FFFFF2CC"/>
        <bgColor rgb="FFFCE8B2"/>
      </patternFill>
    </fill>
    <fill>
      <patternFill patternType="solid">
        <fgColor rgb="FFF5B7B1"/>
        <bgColor rgb="FFFF99CC"/>
      </patternFill>
    </fill>
    <fill>
      <patternFill patternType="solid">
        <fgColor rgb="FFFCE8B2"/>
        <bgColor rgb="FFFFF2CC"/>
      </patternFill>
    </fill>
    <fill>
      <patternFill patternType="solid">
        <fgColor rgb="FFC6E8D4"/>
        <bgColor rgb="FFE0E0E0"/>
      </patternFill>
    </fill>
    <fill>
      <patternFill patternType="solid">
        <fgColor rgb="FFFFFFFF"/>
        <bgColor rgb="FFF2F2F2"/>
      </patternFill>
    </fill>
    <fill>
      <patternFill patternType="solid">
        <fgColor rgb="FFC0392B"/>
        <bgColor rgb="FF993366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 diagonalUp="false" diagonalDown="false">
      <left style="thin">
        <color rgb="FFBFBFBF"/>
      </left>
      <right/>
      <top style="thin">
        <color rgb="FFBFBFBF"/>
      </top>
      <bottom style="thin">
        <color rgb="FFBFBFB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left" vertical="center" textRotation="0" wrapText="true" indent="1" shrinkToFit="false"/>
      <protection locked="true" hidden="false"/>
    </xf>
    <xf numFmtId="164" fontId="5" fillId="3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5" borderId="2" xfId="0" applyFont="true" applyBorder="true" applyAlignment="true" applyProtection="false">
      <alignment horizontal="left" vertical="center" textRotation="0" wrapText="true" indent="1" shrinkToFit="false"/>
      <protection locked="true" hidden="false"/>
    </xf>
    <xf numFmtId="164" fontId="0" fillId="6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7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8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9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4" borderId="2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11" fillId="0" borderId="2" xfId="0" applyFont="true" applyBorder="true" applyAlignment="true" applyProtection="false">
      <alignment horizontal="left" vertical="center" textRotation="0" wrapText="true" indent="1" shrinkToFit="false"/>
      <protection locked="true" hidden="false"/>
    </xf>
    <xf numFmtId="164" fontId="12" fillId="2" borderId="0" xfId="0" applyFont="true" applyBorder="true" applyAlignment="true" applyProtection="false">
      <alignment horizontal="left" vertical="center" textRotation="0" wrapText="true" indent="1" shrinkToFit="false"/>
      <protection locked="true" hidden="false"/>
    </xf>
    <xf numFmtId="164" fontId="13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4" fillId="3" borderId="0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9" fillId="0" borderId="0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4" fontId="15" fillId="4" borderId="1" xfId="0" applyFont="true" applyBorder="true" applyAlignment="true" applyProtection="false">
      <alignment horizontal="left" vertical="center" textRotation="0" wrapText="true" indent="1" shrinkToFit="false"/>
      <protection locked="true" hidden="false"/>
    </xf>
    <xf numFmtId="164" fontId="8" fillId="5" borderId="1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4" fontId="9" fillId="5" borderId="1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4" fontId="8" fillId="10" borderId="1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4" fontId="9" fillId="10" borderId="1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4" fontId="11" fillId="0" borderId="0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4" fontId="8" fillId="0" borderId="0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4" fontId="16" fillId="2" borderId="0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13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2" borderId="0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15" fillId="3" borderId="0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18" fillId="3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8" fillId="5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8" fillId="5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9" fillId="5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9" fillId="5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9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9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1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8" fillId="1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9" fillId="1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9" fillId="1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5" fontId="9" fillId="1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9" fillId="1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9" fillId="6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2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2" borderId="0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21" fillId="2" borderId="0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22" fillId="11" borderId="0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22" fillId="3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5" fillId="4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9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9" fillId="1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9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9" fillId="1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1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3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9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9" fillId="1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5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1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5" fillId="2" borderId="0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9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8">
    <dxf>
      <fill>
        <patternFill patternType="solid">
          <fgColor rgb="FF666666"/>
          <bgColor rgb="FF000000"/>
        </patternFill>
      </fill>
    </dxf>
    <dxf>
      <fill>
        <patternFill patternType="solid">
          <fgColor rgb="FFF2F2F2"/>
          <bgColor rgb="FF000000"/>
        </patternFill>
      </fill>
    </dxf>
    <dxf>
      <fill>
        <patternFill patternType="solid">
          <fgColor rgb="FFFFFFFF"/>
          <bgColor rgb="FF000000"/>
        </patternFill>
      </fill>
    </dxf>
    <dxf>
      <fill>
        <patternFill patternType="solid">
          <fgColor rgb="FF222222"/>
          <bgColor rgb="FF000000"/>
        </patternFill>
      </fill>
    </dxf>
    <dxf>
      <fill>
        <patternFill patternType="solid">
          <fgColor rgb="FFC6E8D4"/>
          <bgColor rgb="FF000000"/>
        </patternFill>
      </fill>
    </dxf>
    <dxf>
      <fill>
        <patternFill patternType="solid">
          <fgColor rgb="FFF5B7B1"/>
          <bgColor rgb="FF000000"/>
        </patternFill>
      </fill>
    </dxf>
    <dxf>
      <fill>
        <patternFill patternType="solid">
          <fgColor rgb="FFFCE8B2"/>
          <bgColor rgb="FF000000"/>
        </patternFill>
      </fill>
    </dxf>
    <dxf>
      <fill>
        <patternFill patternType="solid">
          <fgColor rgb="FF1E7145"/>
          <bgColor rgb="FF000000"/>
        </patternFill>
      </fill>
    </dxf>
    <dxf>
      <fill>
        <patternFill patternType="solid">
          <fgColor rgb="FF9C6500"/>
          <bgColor rgb="FF000000"/>
        </patternFill>
      </fill>
    </dxf>
    <dxf>
      <fill>
        <patternFill patternType="solid">
          <fgColor rgb="FFC0392B"/>
          <bgColor rgb="FF000000"/>
        </patternFill>
      </fill>
    </dxf>
    <dxf>
      <fill>
        <patternFill patternType="solid">
          <fgColor rgb="FF404040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ont>
        <name val="Calibri"/>
        <charset val="1"/>
        <family val="0"/>
        <b val="1"/>
        <color rgb="FFC0392B"/>
      </font>
      <fill>
        <patternFill>
          <bgColor rgb="FFF5B7B1"/>
        </patternFill>
      </fill>
    </dxf>
    <dxf>
      <font>
        <name val="Calibri"/>
        <charset val="1"/>
        <family val="0"/>
        <b val="1"/>
        <color rgb="FF9C6500"/>
      </font>
      <fill>
        <patternFill>
          <bgColor rgb="FFFCE8B2"/>
        </patternFill>
      </fill>
    </dxf>
    <dxf>
      <font>
        <name val="Calibri"/>
        <charset val="1"/>
        <family val="0"/>
        <b val="1"/>
        <color rgb="FF1E7145"/>
      </font>
      <fill>
        <patternFill>
          <bgColor rgb="FFC6E8D4"/>
        </patternFill>
      </fill>
    </dxf>
    <dxf>
      <fill>
        <patternFill patternType="solid">
          <fgColor rgb="FFFFF2CC"/>
          <bgColor rgb="FF000000"/>
        </patternFill>
      </fill>
    </dxf>
    <dxf>
      <font>
        <name val="Calibri"/>
        <charset val="1"/>
        <family val="0"/>
        <b val="1"/>
        <color rgb="FF666666"/>
      </font>
      <fill>
        <patternFill>
          <bgColor rgb="FFE0E0E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9C6500"/>
      <rgbColor rgb="FF800080"/>
      <rgbColor rgb="FF1E7145"/>
      <rgbColor rgb="FFBFBFBF"/>
      <rgbColor rgb="FF808080"/>
      <rgbColor rgb="FF9999FF"/>
      <rgbColor rgb="FF993366"/>
      <rgbColor rgb="FFFFF2CC"/>
      <rgbColor rgb="FFF2F2F2"/>
      <rgbColor rgb="FF660066"/>
      <rgbColor rgb="FFFF8080"/>
      <rgbColor rgb="FF0066CC"/>
      <rgbColor rgb="FFE0E0E0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8D4"/>
      <rgbColor rgb="FFFCE8B2"/>
      <rgbColor rgb="FF99CCFF"/>
      <rgbColor rgb="FFFF99CC"/>
      <rgbColor rgb="FFCC99FF"/>
      <rgbColor rgb="FFF5B7B1"/>
      <rgbColor rgb="FF3366FF"/>
      <rgbColor rgb="FF33CCCC"/>
      <rgbColor rgb="FF99CC00"/>
      <rgbColor rgb="FFFFCC00"/>
      <rgbColor rgb="FFFF9900"/>
      <rgbColor rgb="FFFF6600"/>
      <rgbColor rgb="FF666666"/>
      <rgbColor rgb="FF969696"/>
      <rgbColor rgb="FF003366"/>
      <rgbColor rgb="FF339966"/>
      <rgbColor rgb="FF003300"/>
      <rgbColor rgb="FF222222"/>
      <rgbColor rgb="FFC0392B"/>
      <rgbColor rgb="FF993366"/>
      <rgbColor rgb="FF333399"/>
      <rgbColor rgb="FF404040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triz_Riesgo_Reputacional_Empresarial.xlsx" TargetMode="External"/><Relationship Id="rId2" Type="http://schemas.openxmlformats.org/officeDocument/2006/relationships/hyperlink" Target="Matriz_Riesgo_Reputacional_Empresarial.xlsx" TargetMode="External"/><Relationship Id="rId3" Type="http://schemas.openxmlformats.org/officeDocument/2006/relationships/hyperlink" Target="Matriz_Riesgo_Reputacional_Empresarial.xlsx" TargetMode="External"/><Relationship Id="rId4" Type="http://schemas.openxmlformats.org/officeDocument/2006/relationships/hyperlink" Target="Matriz_Riesgo_Reputacional_Empresarial.xlsx" TargetMode="External"/><Relationship Id="rId5" Type="http://schemas.openxmlformats.org/officeDocument/2006/relationships/hyperlink" Target="Matriz_Riesgo_Reputacional_Empresarial.xlsx" TargetMode="External"/><Relationship Id="rId6" Type="http://schemas.openxmlformats.org/officeDocument/2006/relationships/hyperlink" Target="Matriz_Riesgo_Reputacional_Empresarial.xlsx" TargetMode="Externa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hyperlink" Target="Matriz_Riesgo_Reputacional_Empresarial.xlsx" TargetMode="Externa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hyperlink" Target="Matriz_Riesgo_Reputacional_Empresarial.xlsx" TargetMode="External"/><Relationship Id="rId2" Type="http://schemas.openxmlformats.org/officeDocument/2006/relationships/drawing" Target="../drawings/drawing1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hyperlink" Target="Matriz_Riesgo_Reputacional_Empresarial.xlsx" TargetMode="External"/><Relationship Id="rId2" Type="http://schemas.openxmlformats.org/officeDocument/2006/relationships/drawing" Target="../drawings/drawing2.x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hyperlink" Target="Matriz_Riesgo_Reputacional_Empresarial.xlsx" TargetMode="Externa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hyperlink" Target="Matriz_Riesgo_Reputacional_Empresarial.xlsx" TargetMode="External"/>
</Relationships>
</file>

<file path=xl/worksheets/_rels/sheet7.xml.rels><?xml version="1.0" encoding="UTF-8"?>
<Relationships xmlns="http://schemas.openxmlformats.org/package/2006/relationships"><Relationship Id="rId1" Type="http://schemas.openxmlformats.org/officeDocument/2006/relationships/hyperlink" Target="Matriz_Riesgo_Reputacional_Empresarial.xlsx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21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4"/>
    <col collapsed="false" customWidth="true" hidden="false" outlineLevel="0" max="2" min="2" style="0" width="16"/>
    <col collapsed="false" customWidth="true" hidden="false" outlineLevel="0" max="6" min="3" style="0" width="20"/>
  </cols>
  <sheetData>
    <row r="1" customFormat="false" ht="24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24" hidden="false" customHeight="true" outlineLevel="0" collapsed="false">
      <c r="A2" s="1"/>
      <c r="B2" s="1"/>
      <c r="C2" s="1"/>
      <c r="D2" s="1"/>
      <c r="E2" s="1"/>
      <c r="F2" s="1"/>
    </row>
    <row r="3" customFormat="false" ht="9.75" hidden="false" customHeight="true" outlineLevel="0" collapsed="false"/>
    <row r="4" customFormat="false" ht="15" hidden="false" customHeight="false" outlineLevel="0" collapsed="false">
      <c r="A4" s="2" t="s">
        <v>1</v>
      </c>
      <c r="B4" s="2"/>
      <c r="C4" s="2"/>
      <c r="D4" s="2"/>
      <c r="E4" s="2"/>
      <c r="F4" s="2"/>
    </row>
    <row r="5" customFormat="false" ht="43.5" hidden="false" customHeight="true" outlineLevel="0" collapsed="false">
      <c r="A5" s="3" t="s">
        <v>2</v>
      </c>
      <c r="B5" s="4" t="s">
        <v>3</v>
      </c>
      <c r="C5" s="4"/>
      <c r="D5" s="4"/>
      <c r="E5" s="4"/>
      <c r="F5" s="4"/>
    </row>
    <row r="6" customFormat="false" ht="43.5" hidden="false" customHeight="true" outlineLevel="0" collapsed="false">
      <c r="A6" s="3" t="s">
        <v>4</v>
      </c>
      <c r="B6" s="4" t="s">
        <v>5</v>
      </c>
      <c r="C6" s="4"/>
      <c r="D6" s="4"/>
      <c r="E6" s="4"/>
      <c r="F6" s="4"/>
    </row>
    <row r="7" customFormat="false" ht="43.5" hidden="false" customHeight="true" outlineLevel="0" collapsed="false">
      <c r="A7" s="3" t="s">
        <v>6</v>
      </c>
      <c r="B7" s="4" t="s">
        <v>7</v>
      </c>
      <c r="C7" s="4"/>
      <c r="D7" s="4"/>
      <c r="E7" s="4"/>
      <c r="F7" s="4"/>
    </row>
    <row r="9" customFormat="false" ht="15" hidden="false" customHeight="false" outlineLevel="0" collapsed="false">
      <c r="A9" s="2" t="s">
        <v>8</v>
      </c>
      <c r="B9" s="2"/>
      <c r="C9" s="2"/>
      <c r="D9" s="2"/>
      <c r="E9" s="2"/>
      <c r="F9" s="2"/>
    </row>
    <row r="10" customFormat="false" ht="21.75" hidden="false" customHeight="true" outlineLevel="0" collapsed="false">
      <c r="A10" s="5" t="s">
        <v>9</v>
      </c>
      <c r="B10" s="6" t="s">
        <v>10</v>
      </c>
      <c r="C10" s="7" t="s">
        <v>11</v>
      </c>
      <c r="D10" s="7"/>
      <c r="E10" s="7"/>
      <c r="F10" s="7"/>
    </row>
    <row r="11" customFormat="false" ht="21.75" hidden="false" customHeight="true" outlineLevel="0" collapsed="false">
      <c r="A11" s="8" t="s">
        <v>9</v>
      </c>
      <c r="B11" s="6" t="s">
        <v>12</v>
      </c>
      <c r="C11" s="7" t="s">
        <v>13</v>
      </c>
      <c r="D11" s="7"/>
      <c r="E11" s="7"/>
      <c r="F11" s="7"/>
    </row>
    <row r="12" customFormat="false" ht="21.75" hidden="false" customHeight="true" outlineLevel="0" collapsed="false">
      <c r="A12" s="9" t="s">
        <v>9</v>
      </c>
      <c r="B12" s="6" t="s">
        <v>14</v>
      </c>
      <c r="C12" s="7" t="s">
        <v>15</v>
      </c>
      <c r="D12" s="7"/>
      <c r="E12" s="7"/>
      <c r="F12" s="7"/>
    </row>
    <row r="13" customFormat="false" ht="21.75" hidden="false" customHeight="true" outlineLevel="0" collapsed="false">
      <c r="A13" s="10" t="s">
        <v>9</v>
      </c>
      <c r="B13" s="6" t="s">
        <v>16</v>
      </c>
      <c r="C13" s="7" t="s">
        <v>17</v>
      </c>
      <c r="D13" s="7"/>
      <c r="E13" s="7"/>
      <c r="F13" s="7"/>
    </row>
    <row r="15" customFormat="false" ht="15" hidden="false" customHeight="false" outlineLevel="0" collapsed="false">
      <c r="A15" s="2" t="s">
        <v>18</v>
      </c>
      <c r="B15" s="2"/>
      <c r="C15" s="2"/>
      <c r="D15" s="2"/>
      <c r="E15" s="2"/>
      <c r="F15" s="2"/>
    </row>
    <row r="16" customFormat="false" ht="30" hidden="false" customHeight="true" outlineLevel="0" collapsed="false">
      <c r="A16" s="11" t="s">
        <v>19</v>
      </c>
      <c r="B16" s="11"/>
      <c r="C16" s="12" t="s">
        <v>20</v>
      </c>
      <c r="D16" s="12"/>
      <c r="E16" s="12"/>
      <c r="F16" s="12"/>
    </row>
    <row r="17" customFormat="false" ht="30" hidden="false" customHeight="true" outlineLevel="0" collapsed="false">
      <c r="A17" s="11" t="s">
        <v>21</v>
      </c>
      <c r="B17" s="11"/>
      <c r="C17" s="12" t="s">
        <v>22</v>
      </c>
      <c r="D17" s="12"/>
      <c r="E17" s="12"/>
      <c r="F17" s="12"/>
    </row>
    <row r="18" customFormat="false" ht="30" hidden="false" customHeight="true" outlineLevel="0" collapsed="false">
      <c r="A18" s="11" t="s">
        <v>23</v>
      </c>
      <c r="B18" s="11"/>
      <c r="C18" s="12" t="s">
        <v>24</v>
      </c>
      <c r="D18" s="12"/>
      <c r="E18" s="12"/>
      <c r="F18" s="12"/>
    </row>
    <row r="19" customFormat="false" ht="30" hidden="false" customHeight="true" outlineLevel="0" collapsed="false">
      <c r="A19" s="11" t="s">
        <v>25</v>
      </c>
      <c r="B19" s="11"/>
      <c r="C19" s="12" t="s">
        <v>26</v>
      </c>
      <c r="D19" s="12"/>
      <c r="E19" s="12"/>
      <c r="F19" s="12"/>
    </row>
    <row r="20" customFormat="false" ht="30" hidden="false" customHeight="true" outlineLevel="0" collapsed="false">
      <c r="A20" s="11" t="s">
        <v>27</v>
      </c>
      <c r="B20" s="11"/>
      <c r="C20" s="12" t="s">
        <v>28</v>
      </c>
      <c r="D20" s="12"/>
      <c r="E20" s="12"/>
      <c r="F20" s="12"/>
    </row>
    <row r="21" customFormat="false" ht="30" hidden="false" customHeight="true" outlineLevel="0" collapsed="false">
      <c r="A21" s="11" t="s">
        <v>29</v>
      </c>
      <c r="B21" s="11"/>
      <c r="C21" s="12" t="s">
        <v>30</v>
      </c>
      <c r="D21" s="12"/>
      <c r="E21" s="12"/>
      <c r="F21" s="12"/>
    </row>
  </sheetData>
  <mergeCells count="23">
    <mergeCell ref="A1:F2"/>
    <mergeCell ref="A4:F4"/>
    <mergeCell ref="B5:F5"/>
    <mergeCell ref="B6:F6"/>
    <mergeCell ref="B7:F7"/>
    <mergeCell ref="A9:F9"/>
    <mergeCell ref="C10:F10"/>
    <mergeCell ref="C11:F11"/>
    <mergeCell ref="C12:F12"/>
    <mergeCell ref="C13:F13"/>
    <mergeCell ref="A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hyperlinks>
    <hyperlink ref="A16" r:id="rId1" location="'Guía%20de%20Uso'!A1" display="📘  Guía de Uso"/>
    <hyperlink ref="A17" r:id="rId2" location="'Matriz%20de%20Riesgo'!A1" display="📋  Matriz de Riesgo"/>
    <hyperlink ref="A18" r:id="rId3" location="'Checklist%20Evidencia'!A1" display="✅  Checklist Evidencia"/>
    <hyperlink ref="A19" r:id="rId4" location="'Alertas'!A1" display="🔔  Alertas"/>
    <hyperlink ref="A20" r:id="rId5" location="'Resultados'!A1" display="📊  Resultados"/>
    <hyperlink ref="A21" r:id="rId6" location="'Metodología%20y%20Fuentes'!A1" display="📖  Metodología y Fuentes"/>
  </hyperlink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5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2" topLeftCell="A3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6" min="1" style="0" width="16"/>
    <col collapsed="false" customWidth="true" hidden="false" outlineLevel="0" max="7" min="7" style="0" width="12"/>
  </cols>
  <sheetData>
    <row r="1" customFormat="false" ht="36" hidden="false" customHeight="true" outlineLevel="0" collapsed="false">
      <c r="A1" s="13" t="s">
        <v>31</v>
      </c>
      <c r="B1" s="13"/>
      <c r="C1" s="13"/>
      <c r="D1" s="13"/>
      <c r="E1" s="13"/>
      <c r="F1" s="13"/>
      <c r="G1" s="14" t="s">
        <v>32</v>
      </c>
    </row>
    <row r="2" customFormat="false" ht="7.5" hidden="false" customHeight="true" outlineLevel="0" collapsed="false"/>
    <row r="3" customFormat="false" ht="21.75" hidden="false" customHeight="true" outlineLevel="0" collapsed="false">
      <c r="A3" s="15" t="s">
        <v>33</v>
      </c>
      <c r="B3" s="15"/>
      <c r="C3" s="15"/>
      <c r="D3" s="15"/>
      <c r="E3" s="15"/>
      <c r="F3" s="15"/>
      <c r="G3" s="15"/>
    </row>
    <row r="4" customFormat="false" ht="25.5" hidden="false" customHeight="true" outlineLevel="0" collapsed="false">
      <c r="A4" s="16" t="s">
        <v>34</v>
      </c>
      <c r="B4" s="16"/>
      <c r="C4" s="16"/>
      <c r="D4" s="16"/>
      <c r="E4" s="16"/>
      <c r="F4" s="16"/>
      <c r="G4" s="16"/>
    </row>
    <row r="5" customFormat="false" ht="19.5" hidden="false" customHeight="true" outlineLevel="0" collapsed="false">
      <c r="A5" s="17" t="s">
        <v>35</v>
      </c>
      <c r="B5" s="17" t="s">
        <v>36</v>
      </c>
      <c r="C5" s="17" t="s">
        <v>37</v>
      </c>
      <c r="D5" s="17"/>
      <c r="E5" s="17"/>
      <c r="F5" s="17"/>
      <c r="G5" s="17"/>
    </row>
    <row r="6" customFormat="false" ht="31.5" hidden="false" customHeight="true" outlineLevel="0" collapsed="false">
      <c r="A6" s="18" t="s">
        <v>38</v>
      </c>
      <c r="B6" s="19" t="s">
        <v>39</v>
      </c>
      <c r="C6" s="19" t="s">
        <v>40</v>
      </c>
      <c r="D6" s="19"/>
      <c r="E6" s="19"/>
      <c r="F6" s="19"/>
      <c r="G6" s="19"/>
    </row>
    <row r="7" customFormat="false" ht="31.5" hidden="false" customHeight="true" outlineLevel="0" collapsed="false">
      <c r="A7" s="20" t="s">
        <v>41</v>
      </c>
      <c r="B7" s="21" t="s">
        <v>42</v>
      </c>
      <c r="C7" s="21" t="s">
        <v>43</v>
      </c>
      <c r="D7" s="21"/>
      <c r="E7" s="21"/>
      <c r="F7" s="21"/>
      <c r="G7" s="21"/>
    </row>
    <row r="8" customFormat="false" ht="31.5" hidden="false" customHeight="true" outlineLevel="0" collapsed="false">
      <c r="A8" s="18" t="s">
        <v>44</v>
      </c>
      <c r="B8" s="19" t="s">
        <v>45</v>
      </c>
      <c r="C8" s="19" t="s">
        <v>46</v>
      </c>
      <c r="D8" s="19"/>
      <c r="E8" s="19"/>
      <c r="F8" s="19"/>
      <c r="G8" s="19"/>
    </row>
    <row r="9" customFormat="false" ht="31.5" hidden="false" customHeight="true" outlineLevel="0" collapsed="false">
      <c r="A9" s="20" t="s">
        <v>47</v>
      </c>
      <c r="B9" s="21" t="s">
        <v>39</v>
      </c>
      <c r="C9" s="21" t="s">
        <v>48</v>
      </c>
      <c r="D9" s="21"/>
      <c r="E9" s="21"/>
      <c r="F9" s="21"/>
      <c r="G9" s="21"/>
    </row>
    <row r="10" customFormat="false" ht="31.5" hidden="false" customHeight="true" outlineLevel="0" collapsed="false">
      <c r="A10" s="18" t="s">
        <v>49</v>
      </c>
      <c r="B10" s="19" t="s">
        <v>39</v>
      </c>
      <c r="C10" s="19" t="s">
        <v>50</v>
      </c>
      <c r="D10" s="19"/>
      <c r="E10" s="19"/>
      <c r="F10" s="19"/>
      <c r="G10" s="19"/>
    </row>
    <row r="12" customFormat="false" ht="21.75" hidden="false" customHeight="true" outlineLevel="0" collapsed="false">
      <c r="A12" s="15" t="s">
        <v>51</v>
      </c>
      <c r="B12" s="15"/>
      <c r="C12" s="15"/>
      <c r="D12" s="15"/>
      <c r="E12" s="15"/>
      <c r="F12" s="15"/>
      <c r="G12" s="15"/>
    </row>
    <row r="13" customFormat="false" ht="19.5" hidden="false" customHeight="true" outlineLevel="0" collapsed="false">
      <c r="A13" s="17" t="s">
        <v>52</v>
      </c>
      <c r="B13" s="17" t="s">
        <v>53</v>
      </c>
      <c r="C13" s="17" t="s">
        <v>54</v>
      </c>
      <c r="D13" s="17"/>
      <c r="E13" s="17"/>
      <c r="F13" s="17"/>
      <c r="G13" s="17"/>
    </row>
    <row r="14" customFormat="false" ht="25.5" hidden="false" customHeight="true" outlineLevel="0" collapsed="false">
      <c r="A14" s="18" t="s">
        <v>55</v>
      </c>
      <c r="B14" s="19" t="s">
        <v>56</v>
      </c>
      <c r="C14" s="19" t="s">
        <v>57</v>
      </c>
      <c r="D14" s="19"/>
      <c r="E14" s="19"/>
      <c r="F14" s="19"/>
      <c r="G14" s="19"/>
    </row>
    <row r="15" customFormat="false" ht="25.5" hidden="false" customHeight="true" outlineLevel="0" collapsed="false">
      <c r="A15" s="20" t="s">
        <v>12</v>
      </c>
      <c r="B15" s="21" t="s">
        <v>58</v>
      </c>
      <c r="C15" s="21" t="s">
        <v>59</v>
      </c>
      <c r="D15" s="21"/>
      <c r="E15" s="21"/>
      <c r="F15" s="21"/>
      <c r="G15" s="21"/>
    </row>
    <row r="16" customFormat="false" ht="25.5" hidden="false" customHeight="true" outlineLevel="0" collapsed="false">
      <c r="A16" s="18" t="s">
        <v>14</v>
      </c>
      <c r="B16" s="19" t="s">
        <v>60</v>
      </c>
      <c r="C16" s="19" t="s">
        <v>61</v>
      </c>
      <c r="D16" s="19"/>
      <c r="E16" s="19"/>
      <c r="F16" s="19"/>
      <c r="G16" s="19"/>
    </row>
    <row r="17" customFormat="false" ht="25.5" hidden="false" customHeight="true" outlineLevel="0" collapsed="false">
      <c r="A17" s="20" t="s">
        <v>16</v>
      </c>
      <c r="B17" s="21" t="s">
        <v>62</v>
      </c>
      <c r="C17" s="21" t="s">
        <v>63</v>
      </c>
      <c r="D17" s="21"/>
      <c r="E17" s="21"/>
      <c r="F17" s="21"/>
      <c r="G17" s="21"/>
    </row>
    <row r="19" customFormat="false" ht="21.75" hidden="false" customHeight="true" outlineLevel="0" collapsed="false">
      <c r="A19" s="15" t="s">
        <v>64</v>
      </c>
      <c r="B19" s="15"/>
      <c r="C19" s="15"/>
      <c r="D19" s="15"/>
      <c r="E19" s="15"/>
      <c r="F19" s="15"/>
      <c r="G19" s="15"/>
    </row>
    <row r="20" customFormat="false" ht="25.5" hidden="false" customHeight="true" outlineLevel="0" collapsed="false">
      <c r="A20" s="16" t="s">
        <v>65</v>
      </c>
      <c r="B20" s="16"/>
      <c r="C20" s="16"/>
      <c r="D20" s="16"/>
      <c r="E20" s="16"/>
      <c r="F20" s="16"/>
      <c r="G20" s="16"/>
    </row>
    <row r="21" customFormat="false" ht="25.5" hidden="false" customHeight="true" outlineLevel="0" collapsed="false">
      <c r="A21" s="16" t="s">
        <v>66</v>
      </c>
      <c r="B21" s="16"/>
      <c r="C21" s="16"/>
      <c r="D21" s="16"/>
      <c r="E21" s="16"/>
      <c r="F21" s="16"/>
      <c r="G21" s="16"/>
    </row>
    <row r="22" customFormat="false" ht="25.5" hidden="false" customHeight="true" outlineLevel="0" collapsed="false">
      <c r="A22" s="16" t="s">
        <v>67</v>
      </c>
      <c r="B22" s="16"/>
      <c r="C22" s="16"/>
      <c r="D22" s="16"/>
      <c r="E22" s="16"/>
      <c r="F22" s="16"/>
      <c r="G22" s="16"/>
    </row>
    <row r="23" customFormat="false" ht="25.5" hidden="false" customHeight="true" outlineLevel="0" collapsed="false">
      <c r="A23" s="16" t="s">
        <v>68</v>
      </c>
      <c r="B23" s="16"/>
      <c r="C23" s="16"/>
      <c r="D23" s="16"/>
      <c r="E23" s="16"/>
      <c r="F23" s="16"/>
      <c r="G23" s="16"/>
    </row>
    <row r="24" customFormat="false" ht="37.5" hidden="false" customHeight="true" outlineLevel="0" collapsed="false">
      <c r="A24" s="16" t="s">
        <v>69</v>
      </c>
      <c r="B24" s="16"/>
      <c r="C24" s="16"/>
      <c r="D24" s="16"/>
      <c r="E24" s="16"/>
      <c r="F24" s="16"/>
      <c r="G24" s="16"/>
    </row>
    <row r="25" customFormat="false" ht="25.5" hidden="false" customHeight="true" outlineLevel="0" collapsed="false">
      <c r="A25" s="22" t="s">
        <v>70</v>
      </c>
      <c r="B25" s="22"/>
      <c r="C25" s="22"/>
      <c r="D25" s="22"/>
      <c r="E25" s="22"/>
      <c r="F25" s="22"/>
      <c r="G25" s="22"/>
    </row>
    <row r="26" customFormat="false" ht="21.75" hidden="false" customHeight="true" outlineLevel="0" collapsed="false">
      <c r="A26" s="15" t="s">
        <v>71</v>
      </c>
      <c r="B26" s="15"/>
      <c r="C26" s="15"/>
      <c r="D26" s="15"/>
      <c r="E26" s="15"/>
      <c r="F26" s="15"/>
      <c r="G26" s="15"/>
    </row>
    <row r="27" customFormat="false" ht="48" hidden="false" customHeight="true" outlineLevel="0" collapsed="false">
      <c r="A27" s="16" t="s">
        <v>72</v>
      </c>
      <c r="B27" s="16"/>
      <c r="C27" s="16"/>
      <c r="D27" s="16"/>
      <c r="E27" s="16"/>
      <c r="F27" s="16"/>
      <c r="G27" s="16"/>
    </row>
    <row r="28" customFormat="false" ht="21.75" hidden="false" customHeight="true" outlineLevel="0" collapsed="false">
      <c r="A28" s="15" t="s">
        <v>73</v>
      </c>
      <c r="B28" s="15"/>
      <c r="C28" s="15"/>
      <c r="D28" s="15"/>
      <c r="E28" s="15"/>
      <c r="F28" s="15"/>
      <c r="G28" s="15"/>
    </row>
    <row r="29" customFormat="false" ht="19.5" hidden="false" customHeight="true" outlineLevel="0" collapsed="false">
      <c r="A29" s="17" t="s">
        <v>74</v>
      </c>
      <c r="B29" s="17" t="s">
        <v>75</v>
      </c>
      <c r="C29" s="17"/>
      <c r="D29" s="17"/>
      <c r="E29" s="17"/>
      <c r="F29" s="17"/>
      <c r="G29" s="17"/>
    </row>
    <row r="30" customFormat="false" ht="39.75" hidden="false" customHeight="true" outlineLevel="0" collapsed="false">
      <c r="A30" s="18" t="s">
        <v>76</v>
      </c>
      <c r="B30" s="19" t="s">
        <v>77</v>
      </c>
      <c r="C30" s="19"/>
      <c r="D30" s="19"/>
      <c r="E30" s="19"/>
      <c r="F30" s="19"/>
      <c r="G30" s="19"/>
    </row>
    <row r="31" customFormat="false" ht="39.75" hidden="false" customHeight="true" outlineLevel="0" collapsed="false">
      <c r="A31" s="20" t="s">
        <v>78</v>
      </c>
      <c r="B31" s="21" t="s">
        <v>79</v>
      </c>
      <c r="C31" s="21"/>
      <c r="D31" s="21"/>
      <c r="E31" s="21"/>
      <c r="F31" s="21"/>
      <c r="G31" s="21"/>
    </row>
    <row r="32" customFormat="false" ht="39.75" hidden="false" customHeight="true" outlineLevel="0" collapsed="false">
      <c r="A32" s="18" t="s">
        <v>80</v>
      </c>
      <c r="B32" s="19" t="s">
        <v>81</v>
      </c>
      <c r="C32" s="19"/>
      <c r="D32" s="19"/>
      <c r="E32" s="19"/>
      <c r="F32" s="19"/>
      <c r="G32" s="19"/>
    </row>
    <row r="33" customFormat="false" ht="39.75" hidden="false" customHeight="true" outlineLevel="0" collapsed="false">
      <c r="A33" s="20" t="s">
        <v>82</v>
      </c>
      <c r="B33" s="21" t="s">
        <v>83</v>
      </c>
      <c r="C33" s="21"/>
      <c r="D33" s="21"/>
      <c r="E33" s="21"/>
      <c r="F33" s="21"/>
      <c r="G33" s="21"/>
    </row>
    <row r="35" customFormat="false" ht="21.75" hidden="false" customHeight="true" outlineLevel="0" collapsed="false">
      <c r="A35" s="15" t="s">
        <v>84</v>
      </c>
      <c r="B35" s="15"/>
      <c r="C35" s="15"/>
      <c r="D35" s="15"/>
      <c r="E35" s="15"/>
      <c r="F35" s="15"/>
      <c r="G35" s="15"/>
    </row>
    <row r="36" customFormat="false" ht="25.5" hidden="false" customHeight="true" outlineLevel="0" collapsed="false">
      <c r="A36" s="16" t="s">
        <v>85</v>
      </c>
      <c r="B36" s="16"/>
      <c r="C36" s="16"/>
      <c r="D36" s="16"/>
      <c r="E36" s="16"/>
      <c r="F36" s="16"/>
      <c r="G36" s="16"/>
    </row>
    <row r="37" customFormat="false" ht="25.5" hidden="false" customHeight="true" outlineLevel="0" collapsed="false">
      <c r="A37" s="16" t="s">
        <v>86</v>
      </c>
      <c r="B37" s="16"/>
      <c r="C37" s="16"/>
      <c r="D37" s="16"/>
      <c r="E37" s="16"/>
      <c r="F37" s="16"/>
      <c r="G37" s="16"/>
    </row>
    <row r="38" customFormat="false" ht="25.5" hidden="false" customHeight="true" outlineLevel="0" collapsed="false">
      <c r="A38" s="16" t="s">
        <v>87</v>
      </c>
      <c r="B38" s="16"/>
      <c r="C38" s="16"/>
      <c r="D38" s="16"/>
      <c r="E38" s="16"/>
      <c r="F38" s="16"/>
      <c r="G38" s="16"/>
    </row>
    <row r="39" customFormat="false" ht="21.75" hidden="false" customHeight="true" outlineLevel="0" collapsed="false">
      <c r="A39" s="15" t="s">
        <v>88</v>
      </c>
      <c r="B39" s="15"/>
      <c r="C39" s="15"/>
      <c r="D39" s="15"/>
      <c r="E39" s="15"/>
      <c r="F39" s="15"/>
      <c r="G39" s="15"/>
    </row>
    <row r="40" customFormat="false" ht="25.5" hidden="false" customHeight="true" outlineLevel="0" collapsed="false">
      <c r="A40" s="16" t="s">
        <v>89</v>
      </c>
      <c r="B40" s="16"/>
      <c r="C40" s="16"/>
      <c r="D40" s="16"/>
      <c r="E40" s="16"/>
      <c r="F40" s="16"/>
      <c r="G40" s="16"/>
    </row>
    <row r="41" customFormat="false" ht="37.5" hidden="false" customHeight="true" outlineLevel="0" collapsed="false">
      <c r="A41" s="16" t="s">
        <v>90</v>
      </c>
      <c r="B41" s="16"/>
      <c r="C41" s="16"/>
      <c r="D41" s="16"/>
      <c r="E41" s="16"/>
      <c r="F41" s="16"/>
      <c r="G41" s="16"/>
    </row>
    <row r="42" customFormat="false" ht="25.5" hidden="false" customHeight="true" outlineLevel="0" collapsed="false">
      <c r="A42" s="16" t="s">
        <v>91</v>
      </c>
      <c r="B42" s="16"/>
      <c r="C42" s="16"/>
      <c r="D42" s="16"/>
      <c r="E42" s="16"/>
      <c r="F42" s="16"/>
      <c r="G42" s="16"/>
    </row>
    <row r="43" customFormat="false" ht="21.75" hidden="false" customHeight="true" outlineLevel="0" collapsed="false">
      <c r="A43" s="15" t="s">
        <v>92</v>
      </c>
      <c r="B43" s="15"/>
      <c r="C43" s="15"/>
      <c r="D43" s="15"/>
      <c r="E43" s="15"/>
      <c r="F43" s="15"/>
      <c r="G43" s="15"/>
    </row>
    <row r="44" customFormat="false" ht="21.75" hidden="false" customHeight="true" outlineLevel="0" collapsed="false">
      <c r="A44" s="23" t="s">
        <v>93</v>
      </c>
      <c r="B44" s="23"/>
      <c r="C44" s="23"/>
      <c r="D44" s="23"/>
      <c r="E44" s="23"/>
      <c r="F44" s="23"/>
      <c r="G44" s="23"/>
    </row>
    <row r="45" customFormat="false" ht="31.5" hidden="false" customHeight="true" outlineLevel="0" collapsed="false">
      <c r="A45" s="16" t="s">
        <v>94</v>
      </c>
      <c r="B45" s="16"/>
      <c r="C45" s="16"/>
      <c r="D45" s="16"/>
      <c r="E45" s="16"/>
      <c r="F45" s="16"/>
      <c r="G45" s="16"/>
    </row>
    <row r="46" customFormat="false" ht="21.75" hidden="false" customHeight="true" outlineLevel="0" collapsed="false">
      <c r="A46" s="23" t="s">
        <v>95</v>
      </c>
      <c r="B46" s="23"/>
      <c r="C46" s="23"/>
      <c r="D46" s="23"/>
      <c r="E46" s="23"/>
      <c r="F46" s="23"/>
      <c r="G46" s="23"/>
    </row>
    <row r="47" customFormat="false" ht="31.5" hidden="false" customHeight="true" outlineLevel="0" collapsed="false">
      <c r="A47" s="16" t="s">
        <v>96</v>
      </c>
      <c r="B47" s="16"/>
      <c r="C47" s="16"/>
      <c r="D47" s="16"/>
      <c r="E47" s="16"/>
      <c r="F47" s="16"/>
      <c r="G47" s="16"/>
    </row>
    <row r="48" customFormat="false" ht="21.75" hidden="false" customHeight="true" outlineLevel="0" collapsed="false">
      <c r="A48" s="23" t="s">
        <v>97</v>
      </c>
      <c r="B48" s="23"/>
      <c r="C48" s="23"/>
      <c r="D48" s="23"/>
      <c r="E48" s="23"/>
      <c r="F48" s="23"/>
      <c r="G48" s="23"/>
    </row>
    <row r="49" customFormat="false" ht="31.5" hidden="false" customHeight="true" outlineLevel="0" collapsed="false">
      <c r="A49" s="16" t="s">
        <v>98</v>
      </c>
      <c r="B49" s="16"/>
      <c r="C49" s="16"/>
      <c r="D49" s="16"/>
      <c r="E49" s="16"/>
      <c r="F49" s="16"/>
      <c r="G49" s="16"/>
    </row>
    <row r="50" customFormat="false" ht="21.75" hidden="false" customHeight="true" outlineLevel="0" collapsed="false">
      <c r="A50" s="23" t="s">
        <v>99</v>
      </c>
      <c r="B50" s="23"/>
      <c r="C50" s="23"/>
      <c r="D50" s="23"/>
      <c r="E50" s="23"/>
      <c r="F50" s="23"/>
      <c r="G50" s="23"/>
    </row>
    <row r="51" customFormat="false" ht="31.5" hidden="false" customHeight="true" outlineLevel="0" collapsed="false">
      <c r="A51" s="16" t="s">
        <v>100</v>
      </c>
      <c r="B51" s="16"/>
      <c r="C51" s="16"/>
      <c r="D51" s="16"/>
      <c r="E51" s="16"/>
      <c r="F51" s="16"/>
      <c r="G51" s="16"/>
    </row>
    <row r="52" customFormat="false" ht="21.75" hidden="false" customHeight="true" outlineLevel="0" collapsed="false">
      <c r="A52" s="15" t="s">
        <v>101</v>
      </c>
      <c r="B52" s="15"/>
      <c r="C52" s="15"/>
      <c r="D52" s="15"/>
      <c r="E52" s="15"/>
      <c r="F52" s="15"/>
      <c r="G52" s="15"/>
    </row>
    <row r="53" customFormat="false" ht="21.75" hidden="false" customHeight="true" outlineLevel="0" collapsed="false">
      <c r="A53" s="16" t="s">
        <v>102</v>
      </c>
      <c r="B53" s="16"/>
      <c r="C53" s="16"/>
      <c r="D53" s="16"/>
      <c r="E53" s="16"/>
      <c r="F53" s="16"/>
      <c r="G53" s="16"/>
    </row>
    <row r="54" customFormat="false" ht="31.5" hidden="false" customHeight="true" outlineLevel="0" collapsed="false">
      <c r="A54" s="16" t="s">
        <v>103</v>
      </c>
      <c r="B54" s="16"/>
      <c r="C54" s="16"/>
      <c r="D54" s="16"/>
      <c r="E54" s="16"/>
      <c r="F54" s="16"/>
      <c r="G54" s="16"/>
    </row>
    <row r="55" customFormat="false" ht="31.5" hidden="false" customHeight="true" outlineLevel="0" collapsed="false">
      <c r="A55" s="16" t="s">
        <v>104</v>
      </c>
      <c r="B55" s="16"/>
      <c r="C55" s="16"/>
      <c r="D55" s="16"/>
      <c r="E55" s="16"/>
      <c r="F55" s="16"/>
      <c r="G55" s="16"/>
    </row>
    <row r="56" customFormat="false" ht="31.5" hidden="false" customHeight="true" outlineLevel="0" collapsed="false">
      <c r="A56" s="16" t="s">
        <v>105</v>
      </c>
      <c r="B56" s="16"/>
      <c r="C56" s="16"/>
      <c r="D56" s="16"/>
      <c r="E56" s="16"/>
      <c r="F56" s="16"/>
      <c r="G56" s="16"/>
    </row>
  </sheetData>
  <mergeCells count="52">
    <mergeCell ref="A1:F1"/>
    <mergeCell ref="A3:G3"/>
    <mergeCell ref="A4:G4"/>
    <mergeCell ref="C5:G5"/>
    <mergeCell ref="C6:G6"/>
    <mergeCell ref="C7:G7"/>
    <mergeCell ref="C8:G8"/>
    <mergeCell ref="C9:G9"/>
    <mergeCell ref="C10:G10"/>
    <mergeCell ref="A12:G12"/>
    <mergeCell ref="C13:G13"/>
    <mergeCell ref="C14:G14"/>
    <mergeCell ref="C15:G15"/>
    <mergeCell ref="C16:G16"/>
    <mergeCell ref="C17:G17"/>
    <mergeCell ref="A19:G19"/>
    <mergeCell ref="A20:G20"/>
    <mergeCell ref="A21:G21"/>
    <mergeCell ref="A22:G22"/>
    <mergeCell ref="A23:G23"/>
    <mergeCell ref="A24:G24"/>
    <mergeCell ref="A25:G25"/>
    <mergeCell ref="A26:G26"/>
    <mergeCell ref="A27:G27"/>
    <mergeCell ref="A28:G28"/>
    <mergeCell ref="B29:G29"/>
    <mergeCell ref="B30:G30"/>
    <mergeCell ref="B31:G31"/>
    <mergeCell ref="B32:G32"/>
    <mergeCell ref="B33:G33"/>
    <mergeCell ref="A35:G35"/>
    <mergeCell ref="A36:G36"/>
    <mergeCell ref="A37:G37"/>
    <mergeCell ref="A38:G38"/>
    <mergeCell ref="A39:G39"/>
    <mergeCell ref="A40:G40"/>
    <mergeCell ref="A41:G41"/>
    <mergeCell ref="A42:G42"/>
    <mergeCell ref="A43:G43"/>
    <mergeCell ref="A44:G44"/>
    <mergeCell ref="A45:G45"/>
    <mergeCell ref="A46:G46"/>
    <mergeCell ref="A47:G47"/>
    <mergeCell ref="A48:G48"/>
    <mergeCell ref="A49:G49"/>
    <mergeCell ref="A50:G50"/>
    <mergeCell ref="A51:G51"/>
    <mergeCell ref="A52:G52"/>
    <mergeCell ref="A53:G53"/>
    <mergeCell ref="A54:G54"/>
    <mergeCell ref="A55:G55"/>
    <mergeCell ref="A56:G56"/>
  </mergeCells>
  <hyperlinks>
    <hyperlink ref="G1" r:id="rId1" location="'Inicio'!A1" display="🏠 Inicio"/>
  </hyperlink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R2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5"/>
    <col collapsed="false" customWidth="true" hidden="false" outlineLevel="0" max="2" min="2" style="0" width="24"/>
    <col collapsed="false" customWidth="true" hidden="false" outlineLevel="0" max="3" min="3" style="0" width="46"/>
    <col collapsed="false" customWidth="true" hidden="false" outlineLevel="0" max="4" min="4" style="0" width="34"/>
    <col collapsed="false" customWidth="true" hidden="false" outlineLevel="0" max="5" min="5" style="0" width="12"/>
    <col collapsed="false" customWidth="true" hidden="false" outlineLevel="0" max="6" min="6" style="0" width="11"/>
    <col collapsed="false" customWidth="true" hidden="false" outlineLevel="0" max="7" min="7" style="0" width="13"/>
    <col collapsed="false" customWidth="true" hidden="false" outlineLevel="0" max="8" min="8" style="0" width="46"/>
    <col collapsed="false" customWidth="true" hidden="true" outlineLevel="0" max="11" min="10" style="0" width="13"/>
    <col collapsed="false" customWidth="true" hidden="false" outlineLevel="0" max="13" min="12" style="0" width="9"/>
    <col collapsed="false" customWidth="true" hidden="false" outlineLevel="0" max="14" min="14" style="0" width="10"/>
    <col collapsed="false" customWidth="true" hidden="false" outlineLevel="0" max="15" min="15" style="0" width="11"/>
    <col collapsed="false" customWidth="true" hidden="false" outlineLevel="0" max="16" min="16" style="0" width="8"/>
    <col collapsed="false" customWidth="true" hidden="false" outlineLevel="0" max="17" min="17" style="0" width="15"/>
    <col collapsed="false" customWidth="true" hidden="true" outlineLevel="0" max="18" min="18" style="0" width="13"/>
  </cols>
  <sheetData>
    <row r="1" customFormat="false" ht="33.75" hidden="false" customHeight="true" outlineLevel="0" collapsed="false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5" t="s">
        <v>32</v>
      </c>
      <c r="Q1" s="25"/>
    </row>
    <row r="2" customFormat="false" ht="19.5" hidden="false" customHeight="true" outlineLevel="0" collapsed="false">
      <c r="A2" s="26" t="s">
        <v>106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</row>
    <row r="3" customFormat="false" ht="19.5" hidden="false" customHeight="true" outlineLevel="0" collapsed="false">
      <c r="A3" s="27" t="str">
        <f aca="false">"Riesgo residual  —  Alto: "&amp;COUNTIF(O5:O23,"Alto")&amp;"   Medio: "&amp;COUNTIF(O5:O23,"Medio")&amp;"   Bajo: "&amp;COUNTIF(O5:O23,"Bajo")</f>
        <v>Riesgo residual  —  Alto: 15   Medio: 3   Bajo: 1</v>
      </c>
      <c r="B3" s="27"/>
      <c r="C3" s="27"/>
      <c r="D3" s="27"/>
      <c r="E3" s="27"/>
      <c r="F3" s="27"/>
      <c r="G3" s="27" t="str">
        <f aca="false">"Avance documental promedio: "&amp;TEXT(AVERAGE(N5:N23),"0%")&amp;"   |   Riesgos a atender ya: "&amp;COUNTIF(Q5:Q23,"Atender ya")</f>
        <v>Avance documental promedio: 0%   |   Riesgos a atender ya: 15</v>
      </c>
      <c r="H3" s="27"/>
      <c r="I3" s="27"/>
      <c r="J3" s="27"/>
      <c r="K3" s="27"/>
      <c r="L3" s="27"/>
      <c r="M3" s="27"/>
      <c r="N3" s="27"/>
      <c r="O3" s="27"/>
      <c r="P3" s="27"/>
      <c r="Q3" s="27"/>
    </row>
    <row r="4" customFormat="false" ht="39.75" hidden="false" customHeight="true" outlineLevel="0" collapsed="false">
      <c r="A4" s="28" t="s">
        <v>107</v>
      </c>
      <c r="B4" s="28" t="s">
        <v>108</v>
      </c>
      <c r="C4" s="28" t="s">
        <v>109</v>
      </c>
      <c r="D4" s="28" t="s">
        <v>110</v>
      </c>
      <c r="E4" s="28" t="s">
        <v>111</v>
      </c>
      <c r="F4" s="28" t="s">
        <v>112</v>
      </c>
      <c r="G4" s="28" t="s">
        <v>113</v>
      </c>
      <c r="H4" s="28" t="s">
        <v>114</v>
      </c>
      <c r="J4" s="0" t="s">
        <v>115</v>
      </c>
      <c r="K4" s="0" t="s">
        <v>116</v>
      </c>
      <c r="L4" s="28" t="s">
        <v>117</v>
      </c>
      <c r="M4" s="28" t="s">
        <v>118</v>
      </c>
      <c r="N4" s="28" t="s">
        <v>119</v>
      </c>
      <c r="O4" s="28" t="s">
        <v>120</v>
      </c>
      <c r="P4" s="28" t="s">
        <v>121</v>
      </c>
      <c r="Q4" s="28" t="s">
        <v>122</v>
      </c>
    </row>
    <row r="5" customFormat="false" ht="78" hidden="false" customHeight="true" outlineLevel="0" collapsed="false">
      <c r="A5" s="29" t="n">
        <v>1</v>
      </c>
      <c r="B5" s="30" t="s">
        <v>123</v>
      </c>
      <c r="C5" s="31" t="s">
        <v>124</v>
      </c>
      <c r="D5" s="31" t="s">
        <v>125</v>
      </c>
      <c r="E5" s="32" t="s">
        <v>126</v>
      </c>
      <c r="F5" s="32" t="s">
        <v>127</v>
      </c>
      <c r="G5" s="33" t="str">
        <f aca="false">IF(J5*K5&gt;=6,"Alto",IF(J5*K5&gt;=3,"Medio","Bajo"))</f>
        <v>Alto</v>
      </c>
      <c r="H5" s="31" t="s">
        <v>128</v>
      </c>
      <c r="J5" s="34" t="n">
        <f aca="false">IF(E5="Alta",3,IF(E5="Media",2,1))</f>
        <v>3</v>
      </c>
      <c r="K5" s="34" t="n">
        <f aca="false">IF(F5="Alto",3,IF(F5="Medio",2,1))</f>
        <v>3</v>
      </c>
      <c r="L5" s="35" t="n">
        <f aca="false">SUMPRODUCT(--ISNUMBER(SEARCH(","&amp;A5&amp;",",","&amp;SUBSTITUTE('Checklist Evidencia'!$D$5:$D$30," ","")&amp;",")))</f>
        <v>3</v>
      </c>
      <c r="M5" s="35" t="n">
        <f aca="false">SUMPRODUCT(--ISNUMBER(SEARCH(","&amp;A5&amp;",",","&amp;SUBSTITUTE('Checklist Evidencia'!$D$5:$D$30," ","")&amp;","))*('Checklist Evidencia'!$E$5:$E$30="Completo"))</f>
        <v>0</v>
      </c>
      <c r="N5" s="36" t="n">
        <f aca="false">IF(L5=0,"N/D",M5/L5)</f>
        <v>0</v>
      </c>
      <c r="O5" s="37" t="str">
        <f aca="false">IF(R5&gt;=6,"Alto",IF(R5&gt;=3,"Medio","Bajo"))</f>
        <v>Alto</v>
      </c>
      <c r="P5" s="35" t="n">
        <f aca="false">RANK(R5,$R$5:$R$23,0)+COUNTIF($R$5:R5,R5)-1</f>
        <v>1</v>
      </c>
      <c r="Q5" s="37" t="str">
        <f aca="false">IF(O5="Alto","Atender ya",IF(O5="Medio","En seguimiento","Controlado"))</f>
        <v>Atender ya</v>
      </c>
      <c r="R5" s="34" t="n">
        <f aca="false">J5*K5*(1-IF(N5="N/D",0,N5)*0.5)</f>
        <v>9</v>
      </c>
    </row>
    <row r="6" customFormat="false" ht="78" hidden="false" customHeight="true" outlineLevel="0" collapsed="false">
      <c r="A6" s="38" t="n">
        <v>2</v>
      </c>
      <c r="B6" s="39" t="s">
        <v>123</v>
      </c>
      <c r="C6" s="40" t="s">
        <v>129</v>
      </c>
      <c r="D6" s="40" t="s">
        <v>130</v>
      </c>
      <c r="E6" s="41" t="s">
        <v>131</v>
      </c>
      <c r="F6" s="41" t="s">
        <v>127</v>
      </c>
      <c r="G6" s="33" t="str">
        <f aca="false">IF(J6*K6&gt;=6,"Alto",IF(J6*K6&gt;=3,"Medio","Bajo"))</f>
        <v>Alto</v>
      </c>
      <c r="H6" s="40" t="s">
        <v>132</v>
      </c>
      <c r="J6" s="34" t="n">
        <f aca="false">IF(E6="Alta",3,IF(E6="Media",2,1))</f>
        <v>2</v>
      </c>
      <c r="K6" s="34" t="n">
        <f aca="false">IF(F6="Alto",3,IF(F6="Medio",2,1))</f>
        <v>3</v>
      </c>
      <c r="L6" s="42" t="n">
        <f aca="false">SUMPRODUCT(--ISNUMBER(SEARCH(","&amp;A6&amp;",",","&amp;SUBSTITUTE('Checklist Evidencia'!$D$5:$D$30," ","")&amp;",")))</f>
        <v>3</v>
      </c>
      <c r="M6" s="42" t="n">
        <f aca="false">SUMPRODUCT(--ISNUMBER(SEARCH(","&amp;A6&amp;",",","&amp;SUBSTITUTE('Checklist Evidencia'!$D$5:$D$30," ","")&amp;","))*('Checklist Evidencia'!$E$5:$E$30="Completo"))</f>
        <v>0</v>
      </c>
      <c r="N6" s="43" t="n">
        <f aca="false">IF(L6=0,"N/D",M6/L6)</f>
        <v>0</v>
      </c>
      <c r="O6" s="37" t="str">
        <f aca="false">IF(R6&gt;=6,"Alto",IF(R6&gt;=3,"Medio","Bajo"))</f>
        <v>Alto</v>
      </c>
      <c r="P6" s="42" t="n">
        <f aca="false">RANK(R6,$R$5:$R$23,0)+COUNTIF($R$5:R6,R6)-1</f>
        <v>3</v>
      </c>
      <c r="Q6" s="37" t="str">
        <f aca="false">IF(O6="Alto","Atender ya",IF(O6="Medio","En seguimiento","Controlado"))</f>
        <v>Atender ya</v>
      </c>
      <c r="R6" s="34" t="n">
        <f aca="false">J6*K6*(1-IF(N6="N/D",0,N6)*0.5)</f>
        <v>6</v>
      </c>
    </row>
    <row r="7" customFormat="false" ht="78" hidden="false" customHeight="true" outlineLevel="0" collapsed="false">
      <c r="A7" s="29" t="n">
        <v>3</v>
      </c>
      <c r="B7" s="30" t="s">
        <v>123</v>
      </c>
      <c r="C7" s="31" t="s">
        <v>133</v>
      </c>
      <c r="D7" s="31" t="s">
        <v>134</v>
      </c>
      <c r="E7" s="32" t="s">
        <v>131</v>
      </c>
      <c r="F7" s="32" t="s">
        <v>127</v>
      </c>
      <c r="G7" s="33" t="str">
        <f aca="false">IF(J7*K7&gt;=6,"Alto",IF(J7*K7&gt;=3,"Medio","Bajo"))</f>
        <v>Alto</v>
      </c>
      <c r="H7" s="31" t="s">
        <v>135</v>
      </c>
      <c r="J7" s="34" t="n">
        <f aca="false">IF(E7="Alta",3,IF(E7="Media",2,1))</f>
        <v>2</v>
      </c>
      <c r="K7" s="34" t="n">
        <f aca="false">IF(F7="Alto",3,IF(F7="Medio",2,1))</f>
        <v>3</v>
      </c>
      <c r="L7" s="35" t="n">
        <f aca="false">SUMPRODUCT(--ISNUMBER(SEARCH(","&amp;A7&amp;",",","&amp;SUBSTITUTE('Checklist Evidencia'!$D$5:$D$30," ","")&amp;",")))</f>
        <v>2</v>
      </c>
      <c r="M7" s="35" t="n">
        <f aca="false">SUMPRODUCT(--ISNUMBER(SEARCH(","&amp;A7&amp;",",","&amp;SUBSTITUTE('Checklist Evidencia'!$D$5:$D$30," ","")&amp;","))*('Checklist Evidencia'!$E$5:$E$30="Completo"))</f>
        <v>0</v>
      </c>
      <c r="N7" s="36" t="n">
        <f aca="false">IF(L7=0,"N/D",M7/L7)</f>
        <v>0</v>
      </c>
      <c r="O7" s="37" t="str">
        <f aca="false">IF(R7&gt;=6,"Alto",IF(R7&gt;=3,"Medio","Bajo"))</f>
        <v>Alto</v>
      </c>
      <c r="P7" s="35" t="n">
        <f aca="false">RANK(R7,$R$5:$R$23,0)+COUNTIF($R$5:R7,R7)-1</f>
        <v>4</v>
      </c>
      <c r="Q7" s="37" t="str">
        <f aca="false">IF(O7="Alto","Atender ya",IF(O7="Medio","En seguimiento","Controlado"))</f>
        <v>Atender ya</v>
      </c>
      <c r="R7" s="34" t="n">
        <f aca="false">J7*K7*(1-IF(N7="N/D",0,N7)*0.5)</f>
        <v>6</v>
      </c>
    </row>
    <row r="8" customFormat="false" ht="78" hidden="false" customHeight="true" outlineLevel="0" collapsed="false">
      <c r="A8" s="38" t="n">
        <v>4</v>
      </c>
      <c r="B8" s="39" t="s">
        <v>123</v>
      </c>
      <c r="C8" s="40" t="s">
        <v>136</v>
      </c>
      <c r="D8" s="40" t="s">
        <v>137</v>
      </c>
      <c r="E8" s="41" t="s">
        <v>131</v>
      </c>
      <c r="F8" s="41" t="s">
        <v>127</v>
      </c>
      <c r="G8" s="33" t="str">
        <f aca="false">IF(J8*K8&gt;=6,"Alto",IF(J8*K8&gt;=3,"Medio","Bajo"))</f>
        <v>Alto</v>
      </c>
      <c r="H8" s="40" t="s">
        <v>138</v>
      </c>
      <c r="J8" s="34" t="n">
        <f aca="false">IF(E8="Alta",3,IF(E8="Media",2,1))</f>
        <v>2</v>
      </c>
      <c r="K8" s="34" t="n">
        <f aca="false">IF(F8="Alto",3,IF(F8="Medio",2,1))</f>
        <v>3</v>
      </c>
      <c r="L8" s="42" t="n">
        <f aca="false">SUMPRODUCT(--ISNUMBER(SEARCH(","&amp;A8&amp;",",","&amp;SUBSTITUTE('Checklist Evidencia'!$D$5:$D$30," ","")&amp;",")))</f>
        <v>3</v>
      </c>
      <c r="M8" s="42" t="n">
        <f aca="false">SUMPRODUCT(--ISNUMBER(SEARCH(","&amp;A8&amp;",",","&amp;SUBSTITUTE('Checklist Evidencia'!$D$5:$D$30," ","")&amp;","))*('Checklist Evidencia'!$E$5:$E$30="Completo"))</f>
        <v>0</v>
      </c>
      <c r="N8" s="43" t="n">
        <f aca="false">IF(L8=0,"N/D",M8/L8)</f>
        <v>0</v>
      </c>
      <c r="O8" s="37" t="str">
        <f aca="false">IF(R8&gt;=6,"Alto",IF(R8&gt;=3,"Medio","Bajo"))</f>
        <v>Alto</v>
      </c>
      <c r="P8" s="42" t="n">
        <f aca="false">RANK(R8,$R$5:$R$23,0)+COUNTIF($R$5:R8,R8)-1</f>
        <v>5</v>
      </c>
      <c r="Q8" s="37" t="str">
        <f aca="false">IF(O8="Alto","Atender ya",IF(O8="Medio","En seguimiento","Controlado"))</f>
        <v>Atender ya</v>
      </c>
      <c r="R8" s="34" t="n">
        <f aca="false">J8*K8*(1-IF(N8="N/D",0,N8)*0.5)</f>
        <v>6</v>
      </c>
    </row>
    <row r="9" customFormat="false" ht="78" hidden="false" customHeight="true" outlineLevel="0" collapsed="false">
      <c r="A9" s="29" t="n">
        <v>5</v>
      </c>
      <c r="B9" s="30" t="s">
        <v>139</v>
      </c>
      <c r="C9" s="31" t="s">
        <v>140</v>
      </c>
      <c r="D9" s="31" t="s">
        <v>141</v>
      </c>
      <c r="E9" s="32" t="s">
        <v>126</v>
      </c>
      <c r="F9" s="32" t="s">
        <v>127</v>
      </c>
      <c r="G9" s="33" t="str">
        <f aca="false">IF(J9*K9&gt;=6,"Alto",IF(J9*K9&gt;=3,"Medio","Bajo"))</f>
        <v>Alto</v>
      </c>
      <c r="H9" s="31" t="s">
        <v>142</v>
      </c>
      <c r="J9" s="34" t="n">
        <f aca="false">IF(E9="Alta",3,IF(E9="Media",2,1))</f>
        <v>3</v>
      </c>
      <c r="K9" s="34" t="n">
        <f aca="false">IF(F9="Alto",3,IF(F9="Medio",2,1))</f>
        <v>3</v>
      </c>
      <c r="L9" s="35" t="n">
        <f aca="false">SUMPRODUCT(--ISNUMBER(SEARCH(","&amp;A9&amp;",",","&amp;SUBSTITUTE('Checklist Evidencia'!$D$5:$D$30," ","")&amp;",")))</f>
        <v>2</v>
      </c>
      <c r="M9" s="35" t="n">
        <f aca="false">SUMPRODUCT(--ISNUMBER(SEARCH(","&amp;A9&amp;",",","&amp;SUBSTITUTE('Checklist Evidencia'!$D$5:$D$30," ","")&amp;","))*('Checklist Evidencia'!$E$5:$E$30="Completo"))</f>
        <v>0</v>
      </c>
      <c r="N9" s="36" t="n">
        <f aca="false">IF(L9=0,"N/D",M9/L9)</f>
        <v>0</v>
      </c>
      <c r="O9" s="37" t="str">
        <f aca="false">IF(R9&gt;=6,"Alto",IF(R9&gt;=3,"Medio","Bajo"))</f>
        <v>Alto</v>
      </c>
      <c r="P9" s="35" t="n">
        <f aca="false">RANK(R9,$R$5:$R$23,0)+COUNTIF($R$5:R9,R9)-1</f>
        <v>2</v>
      </c>
      <c r="Q9" s="37" t="str">
        <f aca="false">IF(O9="Alto","Atender ya",IF(O9="Medio","En seguimiento","Controlado"))</f>
        <v>Atender ya</v>
      </c>
      <c r="R9" s="34" t="n">
        <f aca="false">J9*K9*(1-IF(N9="N/D",0,N9)*0.5)</f>
        <v>9</v>
      </c>
    </row>
    <row r="10" customFormat="false" ht="78" hidden="false" customHeight="true" outlineLevel="0" collapsed="false">
      <c r="A10" s="38" t="n">
        <v>6</v>
      </c>
      <c r="B10" s="39" t="s">
        <v>139</v>
      </c>
      <c r="C10" s="40" t="s">
        <v>143</v>
      </c>
      <c r="D10" s="40" t="s">
        <v>144</v>
      </c>
      <c r="E10" s="41" t="s">
        <v>126</v>
      </c>
      <c r="F10" s="41" t="s">
        <v>145</v>
      </c>
      <c r="G10" s="33" t="str">
        <f aca="false">IF(J10*K10&gt;=6,"Alto",IF(J10*K10&gt;=3,"Medio","Bajo"))</f>
        <v>Alto</v>
      </c>
      <c r="H10" s="40" t="s">
        <v>146</v>
      </c>
      <c r="J10" s="34" t="n">
        <f aca="false">IF(E10="Alta",3,IF(E10="Media",2,1))</f>
        <v>3</v>
      </c>
      <c r="K10" s="34" t="n">
        <f aca="false">IF(F10="Alto",3,IF(F10="Medio",2,1))</f>
        <v>2</v>
      </c>
      <c r="L10" s="42" t="n">
        <f aca="false">SUMPRODUCT(--ISNUMBER(SEARCH(","&amp;A10&amp;",",","&amp;SUBSTITUTE('Checklist Evidencia'!$D$5:$D$30," ","")&amp;",")))</f>
        <v>1</v>
      </c>
      <c r="M10" s="42" t="n">
        <f aca="false">SUMPRODUCT(--ISNUMBER(SEARCH(","&amp;A10&amp;",",","&amp;SUBSTITUTE('Checklist Evidencia'!$D$5:$D$30," ","")&amp;","))*('Checklist Evidencia'!$E$5:$E$30="Completo"))</f>
        <v>0</v>
      </c>
      <c r="N10" s="43" t="n">
        <f aca="false">IF(L10=0,"N/D",M10/L10)</f>
        <v>0</v>
      </c>
      <c r="O10" s="37" t="str">
        <f aca="false">IF(R10&gt;=6,"Alto",IF(R10&gt;=3,"Medio","Bajo"))</f>
        <v>Alto</v>
      </c>
      <c r="P10" s="42" t="n">
        <f aca="false">RANK(R10,$R$5:$R$23,0)+COUNTIF($R$5:R10,R10)-1</f>
        <v>6</v>
      </c>
      <c r="Q10" s="37" t="str">
        <f aca="false">IF(O10="Alto","Atender ya",IF(O10="Medio","En seguimiento","Controlado"))</f>
        <v>Atender ya</v>
      </c>
      <c r="R10" s="34" t="n">
        <f aca="false">J10*K10*(1-IF(N10="N/D",0,N10)*0.5)</f>
        <v>6</v>
      </c>
    </row>
    <row r="11" customFormat="false" ht="78" hidden="false" customHeight="true" outlineLevel="0" collapsed="false">
      <c r="A11" s="29" t="n">
        <v>7</v>
      </c>
      <c r="B11" s="30" t="s">
        <v>139</v>
      </c>
      <c r="C11" s="31" t="s">
        <v>147</v>
      </c>
      <c r="D11" s="31" t="s">
        <v>148</v>
      </c>
      <c r="E11" s="32" t="s">
        <v>131</v>
      </c>
      <c r="F11" s="32" t="s">
        <v>127</v>
      </c>
      <c r="G11" s="33" t="str">
        <f aca="false">IF(J11*K11&gt;=6,"Alto",IF(J11*K11&gt;=3,"Medio","Bajo"))</f>
        <v>Alto</v>
      </c>
      <c r="H11" s="31" t="s">
        <v>149</v>
      </c>
      <c r="J11" s="34" t="n">
        <f aca="false">IF(E11="Alta",3,IF(E11="Media",2,1))</f>
        <v>2</v>
      </c>
      <c r="K11" s="34" t="n">
        <f aca="false">IF(F11="Alto",3,IF(F11="Medio",2,1))</f>
        <v>3</v>
      </c>
      <c r="L11" s="35" t="n">
        <f aca="false">SUMPRODUCT(--ISNUMBER(SEARCH(","&amp;A11&amp;",",","&amp;SUBSTITUTE('Checklist Evidencia'!$D$5:$D$30," ","")&amp;",")))</f>
        <v>3</v>
      </c>
      <c r="M11" s="35" t="n">
        <f aca="false">SUMPRODUCT(--ISNUMBER(SEARCH(","&amp;A11&amp;",",","&amp;SUBSTITUTE('Checklist Evidencia'!$D$5:$D$30," ","")&amp;","))*('Checklist Evidencia'!$E$5:$E$30="Completo"))</f>
        <v>0</v>
      </c>
      <c r="N11" s="36" t="n">
        <f aca="false">IF(L11=0,"N/D",M11/L11)</f>
        <v>0</v>
      </c>
      <c r="O11" s="37" t="str">
        <f aca="false">IF(R11&gt;=6,"Alto",IF(R11&gt;=3,"Medio","Bajo"))</f>
        <v>Alto</v>
      </c>
      <c r="P11" s="35" t="n">
        <f aca="false">RANK(R11,$R$5:$R$23,0)+COUNTIF($R$5:R11,R11)-1</f>
        <v>7</v>
      </c>
      <c r="Q11" s="37" t="str">
        <f aca="false">IF(O11="Alto","Atender ya",IF(O11="Medio","En seguimiento","Controlado"))</f>
        <v>Atender ya</v>
      </c>
      <c r="R11" s="34" t="n">
        <f aca="false">J11*K11*(1-IF(N11="N/D",0,N11)*0.5)</f>
        <v>6</v>
      </c>
    </row>
    <row r="12" customFormat="false" ht="78" hidden="false" customHeight="true" outlineLevel="0" collapsed="false">
      <c r="A12" s="38" t="n">
        <v>8</v>
      </c>
      <c r="B12" s="39" t="s">
        <v>139</v>
      </c>
      <c r="C12" s="40" t="s">
        <v>150</v>
      </c>
      <c r="D12" s="40" t="s">
        <v>151</v>
      </c>
      <c r="E12" s="41" t="s">
        <v>131</v>
      </c>
      <c r="F12" s="41" t="s">
        <v>145</v>
      </c>
      <c r="G12" s="33" t="str">
        <f aca="false">IF(J12*K12&gt;=6,"Alto",IF(J12*K12&gt;=3,"Medio","Bajo"))</f>
        <v>Medio</v>
      </c>
      <c r="H12" s="40" t="s">
        <v>152</v>
      </c>
      <c r="J12" s="34" t="n">
        <f aca="false">IF(E12="Alta",3,IF(E12="Media",2,1))</f>
        <v>2</v>
      </c>
      <c r="K12" s="34" t="n">
        <f aca="false">IF(F12="Alto",3,IF(F12="Medio",2,1))</f>
        <v>2</v>
      </c>
      <c r="L12" s="42" t="n">
        <f aca="false">SUMPRODUCT(--ISNUMBER(SEARCH(","&amp;A12&amp;",",","&amp;SUBSTITUTE('Checklist Evidencia'!$D$5:$D$30," ","")&amp;",")))</f>
        <v>1</v>
      </c>
      <c r="M12" s="42" t="n">
        <f aca="false">SUMPRODUCT(--ISNUMBER(SEARCH(","&amp;A12&amp;",",","&amp;SUBSTITUTE('Checklist Evidencia'!$D$5:$D$30," ","")&amp;","))*('Checklist Evidencia'!$E$5:$E$30="Completo"))</f>
        <v>0</v>
      </c>
      <c r="N12" s="43" t="n">
        <f aca="false">IF(L12=0,"N/D",M12/L12)</f>
        <v>0</v>
      </c>
      <c r="O12" s="37" t="str">
        <f aca="false">IF(R12&gt;=6,"Alto",IF(R12&gt;=3,"Medio","Bajo"))</f>
        <v>Medio</v>
      </c>
      <c r="P12" s="42" t="n">
        <f aca="false">RANK(R12,$R$5:$R$23,0)+COUNTIF($R$5:R12,R12)-1</f>
        <v>16</v>
      </c>
      <c r="Q12" s="37" t="str">
        <f aca="false">IF(O12="Alto","Atender ya",IF(O12="Medio","En seguimiento","Controlado"))</f>
        <v>En seguimiento</v>
      </c>
      <c r="R12" s="34" t="n">
        <f aca="false">J12*K12*(1-IF(N12="N/D",0,N12)*0.5)</f>
        <v>4</v>
      </c>
    </row>
    <row r="13" customFormat="false" ht="78" hidden="false" customHeight="true" outlineLevel="0" collapsed="false">
      <c r="A13" s="29" t="n">
        <v>9</v>
      </c>
      <c r="B13" s="30" t="s">
        <v>139</v>
      </c>
      <c r="C13" s="31" t="s">
        <v>153</v>
      </c>
      <c r="D13" s="31" t="s">
        <v>154</v>
      </c>
      <c r="E13" s="32" t="s">
        <v>131</v>
      </c>
      <c r="F13" s="32" t="s">
        <v>127</v>
      </c>
      <c r="G13" s="33" t="str">
        <f aca="false">IF(J13*K13&gt;=6,"Alto",IF(J13*K13&gt;=3,"Medio","Bajo"))</f>
        <v>Alto</v>
      </c>
      <c r="H13" s="31" t="s">
        <v>155</v>
      </c>
      <c r="J13" s="34" t="n">
        <f aca="false">IF(E13="Alta",3,IF(E13="Media",2,1))</f>
        <v>2</v>
      </c>
      <c r="K13" s="34" t="n">
        <f aca="false">IF(F13="Alto",3,IF(F13="Medio",2,1))</f>
        <v>3</v>
      </c>
      <c r="L13" s="35" t="n">
        <f aca="false">SUMPRODUCT(--ISNUMBER(SEARCH(","&amp;A13&amp;",",","&amp;SUBSTITUTE('Checklist Evidencia'!$D$5:$D$30," ","")&amp;",")))</f>
        <v>2</v>
      </c>
      <c r="M13" s="35" t="n">
        <f aca="false">SUMPRODUCT(--ISNUMBER(SEARCH(","&amp;A13&amp;",",","&amp;SUBSTITUTE('Checklist Evidencia'!$D$5:$D$30," ","")&amp;","))*('Checklist Evidencia'!$E$5:$E$30="Completo"))</f>
        <v>0</v>
      </c>
      <c r="N13" s="36" t="n">
        <f aca="false">IF(L13=0,"N/D",M13/L13)</f>
        <v>0</v>
      </c>
      <c r="O13" s="37" t="str">
        <f aca="false">IF(R13&gt;=6,"Alto",IF(R13&gt;=3,"Medio","Bajo"))</f>
        <v>Alto</v>
      </c>
      <c r="P13" s="35" t="n">
        <f aca="false">RANK(R13,$R$5:$R$23,0)+COUNTIF($R$5:R13,R13)-1</f>
        <v>8</v>
      </c>
      <c r="Q13" s="37" t="str">
        <f aca="false">IF(O13="Alto","Atender ya",IF(O13="Medio","En seguimiento","Controlado"))</f>
        <v>Atender ya</v>
      </c>
      <c r="R13" s="34" t="n">
        <f aca="false">J13*K13*(1-IF(N13="N/D",0,N13)*0.5)</f>
        <v>6</v>
      </c>
    </row>
    <row r="14" customFormat="false" ht="78" hidden="false" customHeight="true" outlineLevel="0" collapsed="false">
      <c r="A14" s="38" t="n">
        <v>10</v>
      </c>
      <c r="B14" s="39" t="s">
        <v>156</v>
      </c>
      <c r="C14" s="40" t="s">
        <v>157</v>
      </c>
      <c r="D14" s="40" t="s">
        <v>158</v>
      </c>
      <c r="E14" s="41" t="s">
        <v>131</v>
      </c>
      <c r="F14" s="41" t="s">
        <v>127</v>
      </c>
      <c r="G14" s="33" t="str">
        <f aca="false">IF(J14*K14&gt;=6,"Alto",IF(J14*K14&gt;=3,"Medio","Bajo"))</f>
        <v>Alto</v>
      </c>
      <c r="H14" s="40" t="s">
        <v>159</v>
      </c>
      <c r="J14" s="34" t="n">
        <f aca="false">IF(E14="Alta",3,IF(E14="Media",2,1))</f>
        <v>2</v>
      </c>
      <c r="K14" s="34" t="n">
        <f aca="false">IF(F14="Alto",3,IF(F14="Medio",2,1))</f>
        <v>3</v>
      </c>
      <c r="L14" s="42" t="n">
        <f aca="false">SUMPRODUCT(--ISNUMBER(SEARCH(","&amp;A14&amp;",",","&amp;SUBSTITUTE('Checklist Evidencia'!$D$5:$D$30," ","")&amp;",")))</f>
        <v>2</v>
      </c>
      <c r="M14" s="42" t="n">
        <f aca="false">SUMPRODUCT(--ISNUMBER(SEARCH(","&amp;A14&amp;",",","&amp;SUBSTITUTE('Checklist Evidencia'!$D$5:$D$30," ","")&amp;","))*('Checklist Evidencia'!$E$5:$E$30="Completo"))</f>
        <v>0</v>
      </c>
      <c r="N14" s="43" t="n">
        <f aca="false">IF(L14=0,"N/D",M14/L14)</f>
        <v>0</v>
      </c>
      <c r="O14" s="37" t="str">
        <f aca="false">IF(R14&gt;=6,"Alto",IF(R14&gt;=3,"Medio","Bajo"))</f>
        <v>Alto</v>
      </c>
      <c r="P14" s="42" t="n">
        <f aca="false">RANK(R14,$R$5:$R$23,0)+COUNTIF($R$5:R14,R14)-1</f>
        <v>9</v>
      </c>
      <c r="Q14" s="37" t="str">
        <f aca="false">IF(O14="Alto","Atender ya",IF(O14="Medio","En seguimiento","Controlado"))</f>
        <v>Atender ya</v>
      </c>
      <c r="R14" s="34" t="n">
        <f aca="false">J14*K14*(1-IF(N14="N/D",0,N14)*0.5)</f>
        <v>6</v>
      </c>
    </row>
    <row r="15" customFormat="false" ht="78" hidden="false" customHeight="true" outlineLevel="0" collapsed="false">
      <c r="A15" s="29" t="n">
        <v>11</v>
      </c>
      <c r="B15" s="30" t="s">
        <v>156</v>
      </c>
      <c r="C15" s="31" t="s">
        <v>160</v>
      </c>
      <c r="D15" s="31" t="s">
        <v>161</v>
      </c>
      <c r="E15" s="32" t="s">
        <v>131</v>
      </c>
      <c r="F15" s="32" t="s">
        <v>127</v>
      </c>
      <c r="G15" s="33" t="str">
        <f aca="false">IF(J15*K15&gt;=6,"Alto",IF(J15*K15&gt;=3,"Medio","Bajo"))</f>
        <v>Alto</v>
      </c>
      <c r="H15" s="31" t="s">
        <v>162</v>
      </c>
      <c r="J15" s="34" t="n">
        <f aca="false">IF(E15="Alta",3,IF(E15="Media",2,1))</f>
        <v>2</v>
      </c>
      <c r="K15" s="34" t="n">
        <f aca="false">IF(F15="Alto",3,IF(F15="Medio",2,1))</f>
        <v>3</v>
      </c>
      <c r="L15" s="35" t="n">
        <f aca="false">SUMPRODUCT(--ISNUMBER(SEARCH(","&amp;A15&amp;",",","&amp;SUBSTITUTE('Checklist Evidencia'!$D$5:$D$30," ","")&amp;",")))</f>
        <v>1</v>
      </c>
      <c r="M15" s="35" t="n">
        <f aca="false">SUMPRODUCT(--ISNUMBER(SEARCH(","&amp;A15&amp;",",","&amp;SUBSTITUTE('Checklist Evidencia'!$D$5:$D$30," ","")&amp;","))*('Checklist Evidencia'!$E$5:$E$30="Completo"))</f>
        <v>0</v>
      </c>
      <c r="N15" s="36" t="n">
        <f aca="false">IF(L15=0,"N/D",M15/L15)</f>
        <v>0</v>
      </c>
      <c r="O15" s="37" t="str">
        <f aca="false">IF(R15&gt;=6,"Alto",IF(R15&gt;=3,"Medio","Bajo"))</f>
        <v>Alto</v>
      </c>
      <c r="P15" s="35" t="n">
        <f aca="false">RANK(R15,$R$5:$R$23,0)+COUNTIF($R$5:R15,R15)-1</f>
        <v>10</v>
      </c>
      <c r="Q15" s="37" t="str">
        <f aca="false">IF(O15="Alto","Atender ya",IF(O15="Medio","En seguimiento","Controlado"))</f>
        <v>Atender ya</v>
      </c>
      <c r="R15" s="34" t="n">
        <f aca="false">J15*K15*(1-IF(N15="N/D",0,N15)*0.5)</f>
        <v>6</v>
      </c>
    </row>
    <row r="16" customFormat="false" ht="78" hidden="false" customHeight="true" outlineLevel="0" collapsed="false">
      <c r="A16" s="38" t="n">
        <v>12</v>
      </c>
      <c r="B16" s="39" t="s">
        <v>156</v>
      </c>
      <c r="C16" s="40" t="s">
        <v>163</v>
      </c>
      <c r="D16" s="40" t="s">
        <v>164</v>
      </c>
      <c r="E16" s="41" t="s">
        <v>131</v>
      </c>
      <c r="F16" s="41" t="s">
        <v>127</v>
      </c>
      <c r="G16" s="33" t="str">
        <f aca="false">IF(J16*K16&gt;=6,"Alto",IF(J16*K16&gt;=3,"Medio","Bajo"))</f>
        <v>Alto</v>
      </c>
      <c r="H16" s="40" t="s">
        <v>165</v>
      </c>
      <c r="J16" s="34" t="n">
        <f aca="false">IF(E16="Alta",3,IF(E16="Media",2,1))</f>
        <v>2</v>
      </c>
      <c r="K16" s="34" t="n">
        <f aca="false">IF(F16="Alto",3,IF(F16="Medio",2,1))</f>
        <v>3</v>
      </c>
      <c r="L16" s="42" t="n">
        <f aca="false">SUMPRODUCT(--ISNUMBER(SEARCH(","&amp;A16&amp;",",","&amp;SUBSTITUTE('Checklist Evidencia'!$D$5:$D$30," ","")&amp;",")))</f>
        <v>2</v>
      </c>
      <c r="M16" s="42" t="n">
        <f aca="false">SUMPRODUCT(--ISNUMBER(SEARCH(","&amp;A16&amp;",",","&amp;SUBSTITUTE('Checklist Evidencia'!$D$5:$D$30," ","")&amp;","))*('Checklist Evidencia'!$E$5:$E$30="Completo"))</f>
        <v>0</v>
      </c>
      <c r="N16" s="43" t="n">
        <f aca="false">IF(L16=0,"N/D",M16/L16)</f>
        <v>0</v>
      </c>
      <c r="O16" s="37" t="str">
        <f aca="false">IF(R16&gt;=6,"Alto",IF(R16&gt;=3,"Medio","Bajo"))</f>
        <v>Alto</v>
      </c>
      <c r="P16" s="42" t="n">
        <f aca="false">RANK(R16,$R$5:$R$23,0)+COUNTIF($R$5:R16,R16)-1</f>
        <v>11</v>
      </c>
      <c r="Q16" s="37" t="str">
        <f aca="false">IF(O16="Alto","Atender ya",IF(O16="Medio","En seguimiento","Controlado"))</f>
        <v>Atender ya</v>
      </c>
      <c r="R16" s="34" t="n">
        <f aca="false">J16*K16*(1-IF(N16="N/D",0,N16)*0.5)</f>
        <v>6</v>
      </c>
    </row>
    <row r="17" customFormat="false" ht="78" hidden="false" customHeight="true" outlineLevel="0" collapsed="false">
      <c r="A17" s="29" t="n">
        <v>13</v>
      </c>
      <c r="B17" s="30" t="s">
        <v>156</v>
      </c>
      <c r="C17" s="31" t="s">
        <v>166</v>
      </c>
      <c r="D17" s="31" t="s">
        <v>167</v>
      </c>
      <c r="E17" s="32" t="s">
        <v>131</v>
      </c>
      <c r="F17" s="32" t="s">
        <v>127</v>
      </c>
      <c r="G17" s="33" t="str">
        <f aca="false">IF(J17*K17&gt;=6,"Alto",IF(J17*K17&gt;=3,"Medio","Bajo"))</f>
        <v>Alto</v>
      </c>
      <c r="H17" s="31" t="s">
        <v>168</v>
      </c>
      <c r="J17" s="34" t="n">
        <f aca="false">IF(E17="Alta",3,IF(E17="Media",2,1))</f>
        <v>2</v>
      </c>
      <c r="K17" s="34" t="n">
        <f aca="false">IF(F17="Alto",3,IF(F17="Medio",2,1))</f>
        <v>3</v>
      </c>
      <c r="L17" s="35" t="n">
        <f aca="false">SUMPRODUCT(--ISNUMBER(SEARCH(","&amp;A17&amp;",",","&amp;SUBSTITUTE('Checklist Evidencia'!$D$5:$D$30," ","")&amp;",")))</f>
        <v>1</v>
      </c>
      <c r="M17" s="35" t="n">
        <f aca="false">SUMPRODUCT(--ISNUMBER(SEARCH(","&amp;A17&amp;",",","&amp;SUBSTITUTE('Checklist Evidencia'!$D$5:$D$30," ","")&amp;","))*('Checklist Evidencia'!$E$5:$E$30="Completo"))</f>
        <v>0</v>
      </c>
      <c r="N17" s="36" t="n">
        <f aca="false">IF(L17=0,"N/D",M17/L17)</f>
        <v>0</v>
      </c>
      <c r="O17" s="37" t="str">
        <f aca="false">IF(R17&gt;=6,"Alto",IF(R17&gt;=3,"Medio","Bajo"))</f>
        <v>Alto</v>
      </c>
      <c r="P17" s="35" t="n">
        <f aca="false">RANK(R17,$R$5:$R$23,0)+COUNTIF($R$5:R17,R17)-1</f>
        <v>12</v>
      </c>
      <c r="Q17" s="37" t="str">
        <f aca="false">IF(O17="Alto","Atender ya",IF(O17="Medio","En seguimiento","Controlado"))</f>
        <v>Atender ya</v>
      </c>
      <c r="R17" s="34" t="n">
        <f aca="false">J17*K17*(1-IF(N17="N/D",0,N17)*0.5)</f>
        <v>6</v>
      </c>
    </row>
    <row r="18" customFormat="false" ht="78" hidden="false" customHeight="true" outlineLevel="0" collapsed="false">
      <c r="A18" s="38" t="n">
        <v>14</v>
      </c>
      <c r="B18" s="39" t="s">
        <v>156</v>
      </c>
      <c r="C18" s="40" t="s">
        <v>169</v>
      </c>
      <c r="D18" s="40" t="s">
        <v>170</v>
      </c>
      <c r="E18" s="41" t="s">
        <v>131</v>
      </c>
      <c r="F18" s="41" t="s">
        <v>145</v>
      </c>
      <c r="G18" s="33" t="str">
        <f aca="false">IF(J18*K18&gt;=6,"Alto",IF(J18*K18&gt;=3,"Medio","Bajo"))</f>
        <v>Medio</v>
      </c>
      <c r="H18" s="40" t="s">
        <v>171</v>
      </c>
      <c r="J18" s="34" t="n">
        <f aca="false">IF(E18="Alta",3,IF(E18="Media",2,1))</f>
        <v>2</v>
      </c>
      <c r="K18" s="34" t="n">
        <f aca="false">IF(F18="Alto",3,IF(F18="Medio",2,1))</f>
        <v>2</v>
      </c>
      <c r="L18" s="42" t="n">
        <f aca="false">SUMPRODUCT(--ISNUMBER(SEARCH(","&amp;A18&amp;",",","&amp;SUBSTITUTE('Checklist Evidencia'!$D$5:$D$30," ","")&amp;",")))</f>
        <v>1</v>
      </c>
      <c r="M18" s="42" t="n">
        <f aca="false">SUMPRODUCT(--ISNUMBER(SEARCH(","&amp;A18&amp;",",","&amp;SUBSTITUTE('Checklist Evidencia'!$D$5:$D$30," ","")&amp;","))*('Checklist Evidencia'!$E$5:$E$30="Completo"))</f>
        <v>0</v>
      </c>
      <c r="N18" s="43" t="n">
        <f aca="false">IF(L18=0,"N/D",M18/L18)</f>
        <v>0</v>
      </c>
      <c r="O18" s="37" t="str">
        <f aca="false">IF(R18&gt;=6,"Alto",IF(R18&gt;=3,"Medio","Bajo"))</f>
        <v>Medio</v>
      </c>
      <c r="P18" s="42" t="n">
        <f aca="false">RANK(R18,$R$5:$R$23,0)+COUNTIF($R$5:R18,R18)-1</f>
        <v>17</v>
      </c>
      <c r="Q18" s="37" t="str">
        <f aca="false">IF(O18="Alto","Atender ya",IF(O18="Medio","En seguimiento","Controlado"))</f>
        <v>En seguimiento</v>
      </c>
      <c r="R18" s="34" t="n">
        <f aca="false">J18*K18*(1-IF(N18="N/D",0,N18)*0.5)</f>
        <v>4</v>
      </c>
    </row>
    <row r="19" customFormat="false" ht="78" hidden="false" customHeight="true" outlineLevel="0" collapsed="false">
      <c r="A19" s="29" t="n">
        <v>15</v>
      </c>
      <c r="B19" s="30" t="s">
        <v>172</v>
      </c>
      <c r="C19" s="31" t="s">
        <v>173</v>
      </c>
      <c r="D19" s="31" t="s">
        <v>174</v>
      </c>
      <c r="E19" s="32" t="s">
        <v>131</v>
      </c>
      <c r="F19" s="32" t="s">
        <v>127</v>
      </c>
      <c r="G19" s="33" t="str">
        <f aca="false">IF(J19*K19&gt;=6,"Alto",IF(J19*K19&gt;=3,"Medio","Bajo"))</f>
        <v>Alto</v>
      </c>
      <c r="H19" s="31" t="s">
        <v>175</v>
      </c>
      <c r="J19" s="34" t="n">
        <f aca="false">IF(E19="Alta",3,IF(E19="Media",2,1))</f>
        <v>2</v>
      </c>
      <c r="K19" s="34" t="n">
        <f aca="false">IF(F19="Alto",3,IF(F19="Medio",2,1))</f>
        <v>3</v>
      </c>
      <c r="L19" s="35" t="n">
        <f aca="false">SUMPRODUCT(--ISNUMBER(SEARCH(","&amp;A19&amp;",",","&amp;SUBSTITUTE('Checklist Evidencia'!$D$5:$D$30," ","")&amp;",")))</f>
        <v>2</v>
      </c>
      <c r="M19" s="35" t="n">
        <f aca="false">SUMPRODUCT(--ISNUMBER(SEARCH(","&amp;A19&amp;",",","&amp;SUBSTITUTE('Checklist Evidencia'!$D$5:$D$30," ","")&amp;","))*('Checklist Evidencia'!$E$5:$E$30="Completo"))</f>
        <v>0</v>
      </c>
      <c r="N19" s="36" t="n">
        <f aca="false">IF(L19=0,"N/D",M19/L19)</f>
        <v>0</v>
      </c>
      <c r="O19" s="37" t="str">
        <f aca="false">IF(R19&gt;=6,"Alto",IF(R19&gt;=3,"Medio","Bajo"))</f>
        <v>Alto</v>
      </c>
      <c r="P19" s="35" t="n">
        <f aca="false">RANK(R19,$R$5:$R$23,0)+COUNTIF($R$5:R19,R19)-1</f>
        <v>13</v>
      </c>
      <c r="Q19" s="37" t="str">
        <f aca="false">IF(O19="Alto","Atender ya",IF(O19="Medio","En seguimiento","Controlado"))</f>
        <v>Atender ya</v>
      </c>
      <c r="R19" s="34" t="n">
        <f aca="false">J19*K19*(1-IF(N19="N/D",0,N19)*0.5)</f>
        <v>6</v>
      </c>
    </row>
    <row r="20" customFormat="false" ht="78" hidden="false" customHeight="true" outlineLevel="0" collapsed="false">
      <c r="A20" s="38" t="n">
        <v>16</v>
      </c>
      <c r="B20" s="39" t="s">
        <v>172</v>
      </c>
      <c r="C20" s="40" t="s">
        <v>176</v>
      </c>
      <c r="D20" s="40" t="s">
        <v>177</v>
      </c>
      <c r="E20" s="41" t="s">
        <v>178</v>
      </c>
      <c r="F20" s="41" t="s">
        <v>145</v>
      </c>
      <c r="G20" s="33" t="str">
        <f aca="false">IF(J20*K20&gt;=6,"Alto",IF(J20*K20&gt;=3,"Medio","Bajo"))</f>
        <v>Bajo</v>
      </c>
      <c r="H20" s="40" t="s">
        <v>179</v>
      </c>
      <c r="J20" s="34" t="n">
        <f aca="false">IF(E20="Alta",3,IF(E20="Media",2,1))</f>
        <v>1</v>
      </c>
      <c r="K20" s="34" t="n">
        <f aca="false">IF(F20="Alto",3,IF(F20="Medio",2,1))</f>
        <v>2</v>
      </c>
      <c r="L20" s="42" t="n">
        <f aca="false">SUMPRODUCT(--ISNUMBER(SEARCH(","&amp;A20&amp;",",","&amp;SUBSTITUTE('Checklist Evidencia'!$D$5:$D$30," ","")&amp;",")))</f>
        <v>1</v>
      </c>
      <c r="M20" s="42" t="n">
        <f aca="false">SUMPRODUCT(--ISNUMBER(SEARCH(","&amp;A20&amp;",",","&amp;SUBSTITUTE('Checklist Evidencia'!$D$5:$D$30," ","")&amp;","))*('Checklist Evidencia'!$E$5:$E$30="Completo"))</f>
        <v>0</v>
      </c>
      <c r="N20" s="43" t="n">
        <f aca="false">IF(L20=0,"N/D",M20/L20)</f>
        <v>0</v>
      </c>
      <c r="O20" s="37" t="str">
        <f aca="false">IF(R20&gt;=6,"Alto",IF(R20&gt;=3,"Medio","Bajo"))</f>
        <v>Bajo</v>
      </c>
      <c r="P20" s="42" t="n">
        <f aca="false">RANK(R20,$R$5:$R$23,0)+COUNTIF($R$5:R20,R20)-1</f>
        <v>19</v>
      </c>
      <c r="Q20" s="37" t="str">
        <f aca="false">IF(O20="Alto","Atender ya",IF(O20="Medio","En seguimiento","Controlado"))</f>
        <v>Controlado</v>
      </c>
      <c r="R20" s="34" t="n">
        <f aca="false">J20*K20*(1-IF(N20="N/D",0,N20)*0.5)</f>
        <v>2</v>
      </c>
    </row>
    <row r="21" customFormat="false" ht="78" hidden="false" customHeight="true" outlineLevel="0" collapsed="false">
      <c r="A21" s="29" t="n">
        <v>17</v>
      </c>
      <c r="B21" s="30" t="s">
        <v>172</v>
      </c>
      <c r="C21" s="31" t="s">
        <v>180</v>
      </c>
      <c r="D21" s="31" t="s">
        <v>181</v>
      </c>
      <c r="E21" s="32" t="s">
        <v>131</v>
      </c>
      <c r="F21" s="32" t="s">
        <v>145</v>
      </c>
      <c r="G21" s="33" t="str">
        <f aca="false">IF(J21*K21&gt;=6,"Alto",IF(J21*K21&gt;=3,"Medio","Bajo"))</f>
        <v>Medio</v>
      </c>
      <c r="H21" s="31" t="s">
        <v>182</v>
      </c>
      <c r="J21" s="34" t="n">
        <f aca="false">IF(E21="Alta",3,IF(E21="Media",2,1))</f>
        <v>2</v>
      </c>
      <c r="K21" s="34" t="n">
        <f aca="false">IF(F21="Alto",3,IF(F21="Medio",2,1))</f>
        <v>2</v>
      </c>
      <c r="L21" s="35" t="n">
        <f aca="false">SUMPRODUCT(--ISNUMBER(SEARCH(","&amp;A21&amp;",",","&amp;SUBSTITUTE('Checklist Evidencia'!$D$5:$D$30," ","")&amp;",")))</f>
        <v>1</v>
      </c>
      <c r="M21" s="35" t="n">
        <f aca="false">SUMPRODUCT(--ISNUMBER(SEARCH(","&amp;A21&amp;",",","&amp;SUBSTITUTE('Checklist Evidencia'!$D$5:$D$30," ","")&amp;","))*('Checklist Evidencia'!$E$5:$E$30="Completo"))</f>
        <v>0</v>
      </c>
      <c r="N21" s="36" t="n">
        <f aca="false">IF(L21=0,"N/D",M21/L21)</f>
        <v>0</v>
      </c>
      <c r="O21" s="37" t="str">
        <f aca="false">IF(R21&gt;=6,"Alto",IF(R21&gt;=3,"Medio","Bajo"))</f>
        <v>Medio</v>
      </c>
      <c r="P21" s="35" t="n">
        <f aca="false">RANK(R21,$R$5:$R$23,0)+COUNTIF($R$5:R21,R21)-1</f>
        <v>18</v>
      </c>
      <c r="Q21" s="37" t="str">
        <f aca="false">IF(O21="Alto","Atender ya",IF(O21="Medio","En seguimiento","Controlado"))</f>
        <v>En seguimiento</v>
      </c>
      <c r="R21" s="34" t="n">
        <f aca="false">J21*K21*(1-IF(N21="N/D",0,N21)*0.5)</f>
        <v>4</v>
      </c>
    </row>
    <row r="22" customFormat="false" ht="78" hidden="false" customHeight="true" outlineLevel="0" collapsed="false">
      <c r="A22" s="38" t="n">
        <v>18</v>
      </c>
      <c r="B22" s="39" t="s">
        <v>172</v>
      </c>
      <c r="C22" s="40" t="s">
        <v>183</v>
      </c>
      <c r="D22" s="40" t="s">
        <v>184</v>
      </c>
      <c r="E22" s="41" t="s">
        <v>131</v>
      </c>
      <c r="F22" s="41" t="s">
        <v>127</v>
      </c>
      <c r="G22" s="33" t="str">
        <f aca="false">IF(J22*K22&gt;=6,"Alto",IF(J22*K22&gt;=3,"Medio","Bajo"))</f>
        <v>Alto</v>
      </c>
      <c r="H22" s="40" t="s">
        <v>185</v>
      </c>
      <c r="J22" s="34" t="n">
        <f aca="false">IF(E22="Alta",3,IF(E22="Media",2,1))</f>
        <v>2</v>
      </c>
      <c r="K22" s="34" t="n">
        <f aca="false">IF(F22="Alto",3,IF(F22="Medio",2,1))</f>
        <v>3</v>
      </c>
      <c r="L22" s="42" t="n">
        <f aca="false">SUMPRODUCT(--ISNUMBER(SEARCH(","&amp;A22&amp;",",","&amp;SUBSTITUTE('Checklist Evidencia'!$D$5:$D$30," ","")&amp;",")))</f>
        <v>1</v>
      </c>
      <c r="M22" s="42" t="n">
        <f aca="false">SUMPRODUCT(--ISNUMBER(SEARCH(","&amp;A22&amp;",",","&amp;SUBSTITUTE('Checklist Evidencia'!$D$5:$D$30," ","")&amp;","))*('Checklist Evidencia'!$E$5:$E$30="Completo"))</f>
        <v>0</v>
      </c>
      <c r="N22" s="43" t="n">
        <f aca="false">IF(L22=0,"N/D",M22/L22)</f>
        <v>0</v>
      </c>
      <c r="O22" s="37" t="str">
        <f aca="false">IF(R22&gt;=6,"Alto",IF(R22&gt;=3,"Medio","Bajo"))</f>
        <v>Alto</v>
      </c>
      <c r="P22" s="42" t="n">
        <f aca="false">RANK(R22,$R$5:$R$23,0)+COUNTIF($R$5:R22,R22)-1</f>
        <v>14</v>
      </c>
      <c r="Q22" s="37" t="str">
        <f aca="false">IF(O22="Alto","Atender ya",IF(O22="Medio","En seguimiento","Controlado"))</f>
        <v>Atender ya</v>
      </c>
      <c r="R22" s="34" t="n">
        <f aca="false">J22*K22*(1-IF(N22="N/D",0,N22)*0.5)</f>
        <v>6</v>
      </c>
    </row>
    <row r="23" customFormat="false" ht="78" hidden="false" customHeight="true" outlineLevel="0" collapsed="false">
      <c r="A23" s="29" t="n">
        <v>19</v>
      </c>
      <c r="B23" s="30" t="s">
        <v>172</v>
      </c>
      <c r="C23" s="31" t="s">
        <v>186</v>
      </c>
      <c r="D23" s="31" t="s">
        <v>187</v>
      </c>
      <c r="E23" s="32" t="s">
        <v>131</v>
      </c>
      <c r="F23" s="32" t="s">
        <v>127</v>
      </c>
      <c r="G23" s="33" t="str">
        <f aca="false">IF(J23*K23&gt;=6,"Alto",IF(J23*K23&gt;=3,"Medio","Bajo"))</f>
        <v>Alto</v>
      </c>
      <c r="H23" s="31" t="s">
        <v>188</v>
      </c>
      <c r="J23" s="34" t="n">
        <f aca="false">IF(E23="Alta",3,IF(E23="Media",2,1))</f>
        <v>2</v>
      </c>
      <c r="K23" s="34" t="n">
        <f aca="false">IF(F23="Alto",3,IF(F23="Medio",2,1))</f>
        <v>3</v>
      </c>
      <c r="L23" s="35" t="n">
        <f aca="false">SUMPRODUCT(--ISNUMBER(SEARCH(","&amp;A23&amp;",",","&amp;SUBSTITUTE('Checklist Evidencia'!$D$5:$D$30," ","")&amp;",")))</f>
        <v>3</v>
      </c>
      <c r="M23" s="35" t="n">
        <f aca="false">SUMPRODUCT(--ISNUMBER(SEARCH(","&amp;A23&amp;",",","&amp;SUBSTITUTE('Checklist Evidencia'!$D$5:$D$30," ","")&amp;","))*('Checklist Evidencia'!$E$5:$E$30="Completo"))</f>
        <v>0</v>
      </c>
      <c r="N23" s="36" t="n">
        <f aca="false">IF(L23=0,"N/D",M23/L23)</f>
        <v>0</v>
      </c>
      <c r="O23" s="37" t="str">
        <f aca="false">IF(R23&gt;=6,"Alto",IF(R23&gt;=3,"Medio","Bajo"))</f>
        <v>Alto</v>
      </c>
      <c r="P23" s="35" t="n">
        <f aca="false">RANK(R23,$R$5:$R$23,0)+COUNTIF($R$5:R23,R23)-1</f>
        <v>15</v>
      </c>
      <c r="Q23" s="37" t="str">
        <f aca="false">IF(O23="Alto","Atender ya",IF(O23="Medio","En seguimiento","Controlado"))</f>
        <v>Atender ya</v>
      </c>
      <c r="R23" s="34" t="n">
        <f aca="false">J23*K23*(1-IF(N23="N/D",0,N23)*0.5)</f>
        <v>6</v>
      </c>
    </row>
  </sheetData>
  <autoFilter ref="A4:Q23"/>
  <mergeCells count="5">
    <mergeCell ref="A1:O1"/>
    <mergeCell ref="P1:Q1"/>
    <mergeCell ref="A2:Q2"/>
    <mergeCell ref="A3:F3"/>
    <mergeCell ref="G3:Q3"/>
  </mergeCells>
  <conditionalFormatting sqref="G5:G23">
    <cfRule type="cellIs" priority="2" operator="equal" aboveAverage="0" equalAverage="0" bottom="0" percent="0" rank="0" text="" dxfId="13">
      <formula>"Alto"</formula>
    </cfRule>
    <cfRule type="cellIs" priority="3" operator="equal" aboveAverage="0" equalAverage="0" bottom="0" percent="0" rank="0" text="" dxfId="14">
      <formula>"Medio"</formula>
    </cfRule>
    <cfRule type="cellIs" priority="4" operator="equal" aboveAverage="0" equalAverage="0" bottom="0" percent="0" rank="0" text="" dxfId="15">
      <formula>"Bajo"</formula>
    </cfRule>
  </conditionalFormatting>
  <conditionalFormatting sqref="O5:O23">
    <cfRule type="cellIs" priority="5" operator="equal" aboveAverage="0" equalAverage="0" bottom="0" percent="0" rank="0" text="" dxfId="13">
      <formula>"Alto"</formula>
    </cfRule>
    <cfRule type="cellIs" priority="6" operator="equal" aboveAverage="0" equalAverage="0" bottom="0" percent="0" rank="0" text="" dxfId="14">
      <formula>"Medio"</formula>
    </cfRule>
    <cfRule type="cellIs" priority="7" operator="equal" aboveAverage="0" equalAverage="0" bottom="0" percent="0" rank="0" text="" dxfId="15">
      <formula>"Bajo"</formula>
    </cfRule>
  </conditionalFormatting>
  <conditionalFormatting sqref="Q5:Q23">
    <cfRule type="cellIs" priority="8" operator="equal" aboveAverage="0" equalAverage="0" bottom="0" percent="0" rank="0" text="" dxfId="13">
      <formula>"Atender ya"</formula>
    </cfRule>
    <cfRule type="cellIs" priority="9" operator="equal" aboveAverage="0" equalAverage="0" bottom="0" percent="0" rank="0" text="" dxfId="14">
      <formula>"En seguimiento"</formula>
    </cfRule>
    <cfRule type="cellIs" priority="10" operator="equal" aboveAverage="0" equalAverage="0" bottom="0" percent="0" rank="0" text="" dxfId="15">
      <formula>"Controlado"</formula>
    </cfRule>
  </conditionalFormatting>
  <dataValidations count="2">
    <dataValidation allowBlank="false" errorStyle="stop" operator="between" prompt="¿Qué tan frecuente es este riesgo? Elige Alta, Media o Baja." promptTitle="Probabilidad" showDropDown="false" showErrorMessage="false" showInputMessage="true" sqref="E5:E23" type="list">
      <formula1>"Alta,Media,Baja"</formula1>
      <formula2>0</formula2>
    </dataValidation>
    <dataValidation allowBlank="false" errorStyle="stop" operator="between" prompt="Si el riesgo se materializa, ¿qué tan grave sería? Elige Alto, Medio o Bajo." promptTitle="Impacto" showDropDown="false" showErrorMessage="false" showInputMessage="true" sqref="F5:F23" type="list">
      <formula1>"Alto,Medio,Bajo"</formula1>
      <formula2>0</formula2>
    </dataValidation>
  </dataValidations>
  <hyperlinks>
    <hyperlink ref="P1" r:id="rId1" location="'Inicio'!A1" display="🏠 Inicio"/>
  </hyperlink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32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5"/>
    <col collapsed="false" customWidth="true" hidden="false" outlineLevel="0" max="2" min="2" style="0" width="26"/>
    <col collapsed="false" customWidth="true" hidden="false" outlineLevel="0" max="3" min="3" style="0" width="50"/>
    <col collapsed="false" customWidth="true" hidden="false" outlineLevel="0" max="4" min="4" style="0" width="14"/>
    <col collapsed="false" customWidth="true" hidden="false" outlineLevel="0" max="5" min="5" style="0" width="13"/>
    <col collapsed="false" customWidth="true" hidden="false" outlineLevel="0" max="6" min="6" style="0" width="30"/>
    <col collapsed="false" customWidth="true" hidden="false" outlineLevel="0" max="7" min="7" style="0" width="13"/>
    <col collapsed="false" customWidth="true" hidden="false" outlineLevel="0" max="8" min="8" style="0" width="12"/>
    <col collapsed="false" customWidth="true" hidden="true" outlineLevel="0" max="9" min="9" style="0" width="13"/>
  </cols>
  <sheetData>
    <row r="1" customFormat="false" ht="33.75" hidden="false" customHeight="true" outlineLevel="0" collapsed="false">
      <c r="A1" s="24" t="s">
        <v>189</v>
      </c>
      <c r="B1" s="24"/>
      <c r="C1" s="24"/>
      <c r="D1" s="24"/>
      <c r="E1" s="24"/>
      <c r="F1" s="24"/>
      <c r="G1" s="24"/>
      <c r="H1" s="14" t="s">
        <v>32</v>
      </c>
    </row>
    <row r="2" customFormat="false" ht="19.5" hidden="false" customHeight="true" outlineLevel="0" collapsed="false">
      <c r="A2" s="26" t="s">
        <v>190</v>
      </c>
      <c r="B2" s="26"/>
      <c r="C2" s="26"/>
      <c r="D2" s="26"/>
      <c r="E2" s="26"/>
      <c r="F2" s="26"/>
      <c r="G2" s="26"/>
      <c r="H2" s="26"/>
    </row>
    <row r="3" customFormat="false" ht="6" hidden="false" customHeight="true" outlineLevel="0" collapsed="false"/>
    <row r="4" customFormat="false" ht="31.5" hidden="false" customHeight="true" outlineLevel="0" collapsed="false">
      <c r="A4" s="28" t="s">
        <v>107</v>
      </c>
      <c r="B4" s="28" t="s">
        <v>108</v>
      </c>
      <c r="C4" s="28" t="s">
        <v>191</v>
      </c>
      <c r="D4" s="28" t="s">
        <v>192</v>
      </c>
      <c r="E4" s="28" t="s">
        <v>193</v>
      </c>
      <c r="F4" s="28" t="s">
        <v>194</v>
      </c>
      <c r="G4" s="28" t="s">
        <v>195</v>
      </c>
      <c r="H4" s="28" t="s">
        <v>196</v>
      </c>
    </row>
    <row r="5" customFormat="false" ht="33.75" hidden="false" customHeight="true" outlineLevel="0" collapsed="false">
      <c r="A5" s="29" t="n">
        <v>1</v>
      </c>
      <c r="B5" s="30" t="s">
        <v>123</v>
      </c>
      <c r="C5" s="31" t="s">
        <v>197</v>
      </c>
      <c r="D5" s="32" t="s">
        <v>198</v>
      </c>
      <c r="E5" s="44" t="s">
        <v>199</v>
      </c>
      <c r="F5" s="31"/>
      <c r="G5" s="45"/>
      <c r="H5" s="32" t="str">
        <f aca="true">IF(AND(G5&lt;&gt;"",E5&lt;&gt;"Completo",E5&lt;&gt;"No aplica",TODAY()&gt;G5),"⚠ VENCIDO","")</f>
        <v/>
      </c>
      <c r="I5" s="0" t="str">
        <f aca="false">IF(H5="⚠ VENCIDO",COUNTIF($H$5:H5,"⚠ VENCIDO"),"")</f>
        <v/>
      </c>
    </row>
    <row r="6" customFormat="false" ht="33.75" hidden="false" customHeight="true" outlineLevel="0" collapsed="false">
      <c r="A6" s="38" t="n">
        <v>2</v>
      </c>
      <c r="B6" s="39" t="s">
        <v>123</v>
      </c>
      <c r="C6" s="40" t="s">
        <v>200</v>
      </c>
      <c r="D6" s="41" t="s">
        <v>198</v>
      </c>
      <c r="E6" s="44" t="s">
        <v>199</v>
      </c>
      <c r="F6" s="40"/>
      <c r="G6" s="45"/>
      <c r="H6" s="41" t="str">
        <f aca="true">IF(AND(G6&lt;&gt;"",E6&lt;&gt;"Completo",E6&lt;&gt;"No aplica",TODAY()&gt;G6),"⚠ VENCIDO","")</f>
        <v/>
      </c>
      <c r="I6" s="0" t="str">
        <f aca="false">IF(H6="⚠ VENCIDO",COUNTIF($H$5:H6,"⚠ VENCIDO"),"")</f>
        <v/>
      </c>
    </row>
    <row r="7" customFormat="false" ht="33.75" hidden="false" customHeight="true" outlineLevel="0" collapsed="false">
      <c r="A7" s="29" t="n">
        <v>3</v>
      </c>
      <c r="B7" s="30" t="s">
        <v>123</v>
      </c>
      <c r="C7" s="31" t="s">
        <v>201</v>
      </c>
      <c r="D7" s="32" t="s">
        <v>2</v>
      </c>
      <c r="E7" s="44" t="s">
        <v>199</v>
      </c>
      <c r="F7" s="31"/>
      <c r="G7" s="45"/>
      <c r="H7" s="32" t="str">
        <f aca="true">IF(AND(G7&lt;&gt;"",E7&lt;&gt;"Completo",E7&lt;&gt;"No aplica",TODAY()&gt;G7),"⚠ VENCIDO","")</f>
        <v/>
      </c>
      <c r="I7" s="0" t="str">
        <f aca="false">IF(H7="⚠ VENCIDO",COUNTIF($H$5:H7,"⚠ VENCIDO"),"")</f>
        <v/>
      </c>
    </row>
    <row r="8" customFormat="false" ht="33.75" hidden="false" customHeight="true" outlineLevel="0" collapsed="false">
      <c r="A8" s="38" t="n">
        <v>4</v>
      </c>
      <c r="B8" s="39" t="s">
        <v>123</v>
      </c>
      <c r="C8" s="40" t="s">
        <v>202</v>
      </c>
      <c r="D8" s="41" t="s">
        <v>203</v>
      </c>
      <c r="E8" s="44" t="s">
        <v>199</v>
      </c>
      <c r="F8" s="40"/>
      <c r="G8" s="45"/>
      <c r="H8" s="41" t="str">
        <f aca="true">IF(AND(G8&lt;&gt;"",E8&lt;&gt;"Completo",E8&lt;&gt;"No aplica",TODAY()&gt;G8),"⚠ VENCIDO","")</f>
        <v/>
      </c>
      <c r="I8" s="0" t="str">
        <f aca="false">IF(H8="⚠ VENCIDO",COUNTIF($H$5:H8,"⚠ VENCIDO"),"")</f>
        <v/>
      </c>
    </row>
    <row r="9" customFormat="false" ht="33.75" hidden="false" customHeight="true" outlineLevel="0" collapsed="false">
      <c r="A9" s="29" t="n">
        <v>5</v>
      </c>
      <c r="B9" s="30" t="s">
        <v>123</v>
      </c>
      <c r="C9" s="31" t="s">
        <v>204</v>
      </c>
      <c r="D9" s="32" t="s">
        <v>205</v>
      </c>
      <c r="E9" s="44" t="s">
        <v>199</v>
      </c>
      <c r="F9" s="31"/>
      <c r="G9" s="45"/>
      <c r="H9" s="32" t="str">
        <f aca="true">IF(AND(G9&lt;&gt;"",E9&lt;&gt;"Completo",E9&lt;&gt;"No aplica",TODAY()&gt;G9),"⚠ VENCIDO","")</f>
        <v/>
      </c>
      <c r="I9" s="0" t="str">
        <f aca="false">IF(H9="⚠ VENCIDO",COUNTIF($H$5:H9,"⚠ VENCIDO"),"")</f>
        <v/>
      </c>
    </row>
    <row r="10" customFormat="false" ht="33.75" hidden="false" customHeight="true" outlineLevel="0" collapsed="false">
      <c r="A10" s="38" t="n">
        <v>6</v>
      </c>
      <c r="B10" s="39" t="s">
        <v>123</v>
      </c>
      <c r="C10" s="40" t="s">
        <v>206</v>
      </c>
      <c r="D10" s="41" t="s">
        <v>203</v>
      </c>
      <c r="E10" s="44" t="s">
        <v>199</v>
      </c>
      <c r="F10" s="40"/>
      <c r="G10" s="45"/>
      <c r="H10" s="41" t="str">
        <f aca="true">IF(AND(G10&lt;&gt;"",E10&lt;&gt;"Completo",E10&lt;&gt;"No aplica",TODAY()&gt;G10),"⚠ VENCIDO","")</f>
        <v/>
      </c>
      <c r="I10" s="0" t="str">
        <f aca="false">IF(H10="⚠ VENCIDO",COUNTIF($H$5:H10,"⚠ VENCIDO"),"")</f>
        <v/>
      </c>
    </row>
    <row r="11" customFormat="false" ht="33.75" hidden="false" customHeight="true" outlineLevel="0" collapsed="false">
      <c r="A11" s="29" t="n">
        <v>7</v>
      </c>
      <c r="B11" s="30" t="s">
        <v>123</v>
      </c>
      <c r="C11" s="31" t="s">
        <v>207</v>
      </c>
      <c r="D11" s="32" t="s">
        <v>6</v>
      </c>
      <c r="E11" s="44" t="s">
        <v>199</v>
      </c>
      <c r="F11" s="31"/>
      <c r="G11" s="45"/>
      <c r="H11" s="32" t="str">
        <f aca="true">IF(AND(G11&lt;&gt;"",E11&lt;&gt;"Completo",E11&lt;&gt;"No aplica",TODAY()&gt;G11),"⚠ VENCIDO","")</f>
        <v/>
      </c>
      <c r="I11" s="0" t="str">
        <f aca="false">IF(H11="⚠ VENCIDO",COUNTIF($H$5:H11,"⚠ VENCIDO"),"")</f>
        <v/>
      </c>
    </row>
    <row r="12" customFormat="false" ht="33.75" hidden="false" customHeight="true" outlineLevel="0" collapsed="false">
      <c r="A12" s="38" t="n">
        <v>8</v>
      </c>
      <c r="B12" s="39" t="s">
        <v>139</v>
      </c>
      <c r="C12" s="40" t="s">
        <v>208</v>
      </c>
      <c r="D12" s="41" t="s">
        <v>209</v>
      </c>
      <c r="E12" s="44" t="s">
        <v>199</v>
      </c>
      <c r="F12" s="40"/>
      <c r="G12" s="45"/>
      <c r="H12" s="41" t="str">
        <f aca="true">IF(AND(G12&lt;&gt;"",E12&lt;&gt;"Completo",E12&lt;&gt;"No aplica",TODAY()&gt;G12),"⚠ VENCIDO","")</f>
        <v/>
      </c>
      <c r="I12" s="0" t="str">
        <f aca="false">IF(H12="⚠ VENCIDO",COUNTIF($H$5:H12,"⚠ VENCIDO"),"")</f>
        <v/>
      </c>
    </row>
    <row r="13" customFormat="false" ht="33.75" hidden="false" customHeight="true" outlineLevel="0" collapsed="false">
      <c r="A13" s="29" t="n">
        <v>9</v>
      </c>
      <c r="B13" s="30" t="s">
        <v>139</v>
      </c>
      <c r="C13" s="31" t="s">
        <v>210</v>
      </c>
      <c r="D13" s="32" t="s">
        <v>211</v>
      </c>
      <c r="E13" s="44" t="s">
        <v>199</v>
      </c>
      <c r="F13" s="31"/>
      <c r="G13" s="45"/>
      <c r="H13" s="32" t="str">
        <f aca="true">IF(AND(G13&lt;&gt;"",E13&lt;&gt;"Completo",E13&lt;&gt;"No aplica",TODAY()&gt;G13),"⚠ VENCIDO","")</f>
        <v/>
      </c>
      <c r="I13" s="0" t="str">
        <f aca="false">IF(H13="⚠ VENCIDO",COUNTIF($H$5:H13,"⚠ VENCIDO"),"")</f>
        <v/>
      </c>
    </row>
    <row r="14" customFormat="false" ht="33.75" hidden="false" customHeight="true" outlineLevel="0" collapsed="false">
      <c r="A14" s="38" t="n">
        <v>10</v>
      </c>
      <c r="B14" s="39" t="s">
        <v>139</v>
      </c>
      <c r="C14" s="40" t="s">
        <v>212</v>
      </c>
      <c r="D14" s="41" t="s">
        <v>213</v>
      </c>
      <c r="E14" s="44" t="s">
        <v>199</v>
      </c>
      <c r="F14" s="40"/>
      <c r="G14" s="45"/>
      <c r="H14" s="41" t="str">
        <f aca="true">IF(AND(G14&lt;&gt;"",E14&lt;&gt;"Completo",E14&lt;&gt;"No aplica",TODAY()&gt;G14),"⚠ VENCIDO","")</f>
        <v/>
      </c>
      <c r="I14" s="0" t="str">
        <f aca="false">IF(H14="⚠ VENCIDO",COUNTIF($H$5:H14,"⚠ VENCIDO"),"")</f>
        <v/>
      </c>
    </row>
    <row r="15" customFormat="false" ht="33.75" hidden="false" customHeight="true" outlineLevel="0" collapsed="false">
      <c r="A15" s="29" t="n">
        <v>11</v>
      </c>
      <c r="B15" s="30" t="s">
        <v>139</v>
      </c>
      <c r="C15" s="31" t="s">
        <v>214</v>
      </c>
      <c r="D15" s="32" t="s">
        <v>215</v>
      </c>
      <c r="E15" s="44" t="s">
        <v>199</v>
      </c>
      <c r="F15" s="31"/>
      <c r="G15" s="45"/>
      <c r="H15" s="32" t="str">
        <f aca="true">IF(AND(G15&lt;&gt;"",E15&lt;&gt;"Completo",E15&lt;&gt;"No aplica",TODAY()&gt;G15),"⚠ VENCIDO","")</f>
        <v/>
      </c>
      <c r="I15" s="0" t="str">
        <f aca="false">IF(H15="⚠ VENCIDO",COUNTIF($H$5:H15,"⚠ VENCIDO"),"")</f>
        <v/>
      </c>
    </row>
    <row r="16" customFormat="false" ht="33.75" hidden="false" customHeight="true" outlineLevel="0" collapsed="false">
      <c r="A16" s="38" t="n">
        <v>12</v>
      </c>
      <c r="B16" s="39" t="s">
        <v>139</v>
      </c>
      <c r="C16" s="40" t="s">
        <v>216</v>
      </c>
      <c r="D16" s="41" t="s">
        <v>217</v>
      </c>
      <c r="E16" s="44" t="s">
        <v>199</v>
      </c>
      <c r="F16" s="40"/>
      <c r="G16" s="45"/>
      <c r="H16" s="41" t="str">
        <f aca="true">IF(AND(G16&lt;&gt;"",E16&lt;&gt;"Completo",E16&lt;&gt;"No aplica",TODAY()&gt;G16),"⚠ VENCIDO","")</f>
        <v/>
      </c>
      <c r="I16" s="0" t="str">
        <f aca="false">IF(H16="⚠ VENCIDO",COUNTIF($H$5:H16,"⚠ VENCIDO"),"")</f>
        <v/>
      </c>
    </row>
    <row r="17" customFormat="false" ht="33.75" hidden="false" customHeight="true" outlineLevel="0" collapsed="false">
      <c r="A17" s="29" t="n">
        <v>13</v>
      </c>
      <c r="B17" s="30" t="s">
        <v>139</v>
      </c>
      <c r="C17" s="31" t="s">
        <v>218</v>
      </c>
      <c r="D17" s="32" t="s">
        <v>219</v>
      </c>
      <c r="E17" s="44" t="s">
        <v>199</v>
      </c>
      <c r="F17" s="31"/>
      <c r="G17" s="45"/>
      <c r="H17" s="32" t="str">
        <f aca="true">IF(AND(G17&lt;&gt;"",E17&lt;&gt;"Completo",E17&lt;&gt;"No aplica",TODAY()&gt;G17),"⚠ VENCIDO","")</f>
        <v/>
      </c>
      <c r="I17" s="0" t="str">
        <f aca="false">IF(H17="⚠ VENCIDO",COUNTIF($H$5:H17,"⚠ VENCIDO"),"")</f>
        <v/>
      </c>
    </row>
    <row r="18" customFormat="false" ht="33.75" hidden="false" customHeight="true" outlineLevel="0" collapsed="false">
      <c r="A18" s="38" t="n">
        <v>14</v>
      </c>
      <c r="B18" s="39" t="s">
        <v>156</v>
      </c>
      <c r="C18" s="40" t="s">
        <v>220</v>
      </c>
      <c r="D18" s="41" t="s">
        <v>221</v>
      </c>
      <c r="E18" s="44" t="s">
        <v>199</v>
      </c>
      <c r="F18" s="40"/>
      <c r="G18" s="45"/>
      <c r="H18" s="41" t="str">
        <f aca="true">IF(AND(G18&lt;&gt;"",E18&lt;&gt;"Completo",E18&lt;&gt;"No aplica",TODAY()&gt;G18),"⚠ VENCIDO","")</f>
        <v/>
      </c>
      <c r="I18" s="0" t="str">
        <f aca="false">IF(H18="⚠ VENCIDO",COUNTIF($H$5:H18,"⚠ VENCIDO"),"")</f>
        <v/>
      </c>
    </row>
    <row r="19" customFormat="false" ht="33.75" hidden="false" customHeight="true" outlineLevel="0" collapsed="false">
      <c r="A19" s="29" t="n">
        <v>15</v>
      </c>
      <c r="B19" s="30" t="s">
        <v>156</v>
      </c>
      <c r="C19" s="31" t="s">
        <v>222</v>
      </c>
      <c r="D19" s="32" t="s">
        <v>221</v>
      </c>
      <c r="E19" s="44" t="s">
        <v>199</v>
      </c>
      <c r="F19" s="31"/>
      <c r="G19" s="45"/>
      <c r="H19" s="32" t="str">
        <f aca="true">IF(AND(G19&lt;&gt;"",E19&lt;&gt;"Completo",E19&lt;&gt;"No aplica",TODAY()&gt;G19),"⚠ VENCIDO","")</f>
        <v/>
      </c>
      <c r="I19" s="0" t="str">
        <f aca="false">IF(H19="⚠ VENCIDO",COUNTIF($H$5:H19,"⚠ VENCIDO"),"")</f>
        <v/>
      </c>
    </row>
    <row r="20" customFormat="false" ht="33.75" hidden="false" customHeight="true" outlineLevel="0" collapsed="false">
      <c r="A20" s="38" t="n">
        <v>16</v>
      </c>
      <c r="B20" s="39" t="s">
        <v>156</v>
      </c>
      <c r="C20" s="40" t="s">
        <v>223</v>
      </c>
      <c r="D20" s="41" t="s">
        <v>224</v>
      </c>
      <c r="E20" s="44" t="s">
        <v>199</v>
      </c>
      <c r="F20" s="40"/>
      <c r="G20" s="45"/>
      <c r="H20" s="41" t="str">
        <f aca="true">IF(AND(G20&lt;&gt;"",E20&lt;&gt;"Completo",E20&lt;&gt;"No aplica",TODAY()&gt;G20),"⚠ VENCIDO","")</f>
        <v/>
      </c>
      <c r="I20" s="0" t="str">
        <f aca="false">IF(H20="⚠ VENCIDO",COUNTIF($H$5:H20,"⚠ VENCIDO"),"")</f>
        <v/>
      </c>
    </row>
    <row r="21" customFormat="false" ht="33.75" hidden="false" customHeight="true" outlineLevel="0" collapsed="false">
      <c r="A21" s="29" t="n">
        <v>17</v>
      </c>
      <c r="B21" s="30" t="s">
        <v>156</v>
      </c>
      <c r="C21" s="31" t="s">
        <v>225</v>
      </c>
      <c r="D21" s="32" t="s">
        <v>226</v>
      </c>
      <c r="E21" s="44" t="s">
        <v>199</v>
      </c>
      <c r="F21" s="31"/>
      <c r="G21" s="45"/>
      <c r="H21" s="32" t="str">
        <f aca="true">IF(AND(G21&lt;&gt;"",E21&lt;&gt;"Completo",E21&lt;&gt;"No aplica",TODAY()&gt;G21),"⚠ VENCIDO","")</f>
        <v/>
      </c>
      <c r="I21" s="0" t="str">
        <f aca="false">IF(H21="⚠ VENCIDO",COUNTIF($H$5:H21,"⚠ VENCIDO"),"")</f>
        <v/>
      </c>
    </row>
    <row r="22" customFormat="false" ht="33.75" hidden="false" customHeight="true" outlineLevel="0" collapsed="false">
      <c r="A22" s="38" t="n">
        <v>18</v>
      </c>
      <c r="B22" s="39" t="s">
        <v>156</v>
      </c>
      <c r="C22" s="40" t="s">
        <v>227</v>
      </c>
      <c r="D22" s="41" t="s">
        <v>228</v>
      </c>
      <c r="E22" s="44" t="s">
        <v>199</v>
      </c>
      <c r="F22" s="40"/>
      <c r="G22" s="45"/>
      <c r="H22" s="41" t="str">
        <f aca="true">IF(AND(G22&lt;&gt;"",E22&lt;&gt;"Completo",E22&lt;&gt;"No aplica",TODAY()&gt;G22),"⚠ VENCIDO","")</f>
        <v/>
      </c>
      <c r="I22" s="0" t="str">
        <f aca="false">IF(H22="⚠ VENCIDO",COUNTIF($H$5:H22,"⚠ VENCIDO"),"")</f>
        <v/>
      </c>
    </row>
    <row r="23" customFormat="false" ht="33.75" hidden="false" customHeight="true" outlineLevel="0" collapsed="false">
      <c r="A23" s="29" t="n">
        <v>19</v>
      </c>
      <c r="B23" s="30" t="s">
        <v>156</v>
      </c>
      <c r="C23" s="31" t="s">
        <v>229</v>
      </c>
      <c r="D23" s="32" t="s">
        <v>230</v>
      </c>
      <c r="E23" s="44" t="s">
        <v>199</v>
      </c>
      <c r="F23" s="31"/>
      <c r="G23" s="45"/>
      <c r="H23" s="32" t="str">
        <f aca="true">IF(AND(G23&lt;&gt;"",E23&lt;&gt;"Completo",E23&lt;&gt;"No aplica",TODAY()&gt;G23),"⚠ VENCIDO","")</f>
        <v/>
      </c>
      <c r="I23" s="0" t="str">
        <f aca="false">IF(H23="⚠ VENCIDO",COUNTIF($H$5:H23,"⚠ VENCIDO"),"")</f>
        <v/>
      </c>
    </row>
    <row r="24" customFormat="false" ht="33.75" hidden="false" customHeight="true" outlineLevel="0" collapsed="false">
      <c r="A24" s="38" t="n">
        <v>20</v>
      </c>
      <c r="B24" s="39" t="s">
        <v>156</v>
      </c>
      <c r="C24" s="40" t="s">
        <v>231</v>
      </c>
      <c r="D24" s="41" t="s">
        <v>232</v>
      </c>
      <c r="E24" s="44" t="s">
        <v>199</v>
      </c>
      <c r="F24" s="40"/>
      <c r="G24" s="45"/>
      <c r="H24" s="41" t="str">
        <f aca="true">IF(AND(G24&lt;&gt;"",E24&lt;&gt;"Completo",E24&lt;&gt;"No aplica",TODAY()&gt;G24),"⚠ VENCIDO","")</f>
        <v/>
      </c>
      <c r="I24" s="0" t="str">
        <f aca="false">IF(H24="⚠ VENCIDO",COUNTIF($H$5:H24,"⚠ VENCIDO"),"")</f>
        <v/>
      </c>
    </row>
    <row r="25" customFormat="false" ht="33.75" hidden="false" customHeight="true" outlineLevel="0" collapsed="false">
      <c r="A25" s="29" t="n">
        <v>21</v>
      </c>
      <c r="B25" s="30" t="s">
        <v>172</v>
      </c>
      <c r="C25" s="31" t="s">
        <v>233</v>
      </c>
      <c r="D25" s="32" t="s">
        <v>234</v>
      </c>
      <c r="E25" s="44" t="s">
        <v>199</v>
      </c>
      <c r="F25" s="31"/>
      <c r="G25" s="45"/>
      <c r="H25" s="32" t="str">
        <f aca="true">IF(AND(G25&lt;&gt;"",E25&lt;&gt;"Completo",E25&lt;&gt;"No aplica",TODAY()&gt;G25),"⚠ VENCIDO","")</f>
        <v/>
      </c>
      <c r="I25" s="0" t="str">
        <f aca="false">IF(H25="⚠ VENCIDO",COUNTIF($H$5:H25,"⚠ VENCIDO"),"")</f>
        <v/>
      </c>
    </row>
    <row r="26" customFormat="false" ht="33.75" hidden="false" customHeight="true" outlineLevel="0" collapsed="false">
      <c r="A26" s="38" t="n">
        <v>22</v>
      </c>
      <c r="B26" s="39" t="s">
        <v>172</v>
      </c>
      <c r="C26" s="40" t="s">
        <v>235</v>
      </c>
      <c r="D26" s="41" t="s">
        <v>234</v>
      </c>
      <c r="E26" s="44" t="s">
        <v>199</v>
      </c>
      <c r="F26" s="40"/>
      <c r="G26" s="45"/>
      <c r="H26" s="41" t="str">
        <f aca="true">IF(AND(G26&lt;&gt;"",E26&lt;&gt;"Completo",E26&lt;&gt;"No aplica",TODAY()&gt;G26),"⚠ VENCIDO","")</f>
        <v/>
      </c>
      <c r="I26" s="0" t="str">
        <f aca="false">IF(H26="⚠ VENCIDO",COUNTIF($H$5:H26,"⚠ VENCIDO"),"")</f>
        <v/>
      </c>
    </row>
    <row r="27" customFormat="false" ht="33.75" hidden="false" customHeight="true" outlineLevel="0" collapsed="false">
      <c r="A27" s="29" t="n">
        <v>23</v>
      </c>
      <c r="B27" s="30" t="s">
        <v>172</v>
      </c>
      <c r="C27" s="31" t="s">
        <v>236</v>
      </c>
      <c r="D27" s="32" t="s">
        <v>237</v>
      </c>
      <c r="E27" s="44" t="s">
        <v>199</v>
      </c>
      <c r="F27" s="31"/>
      <c r="G27" s="45"/>
      <c r="H27" s="32" t="str">
        <f aca="true">IF(AND(G27&lt;&gt;"",E27&lt;&gt;"Completo",E27&lt;&gt;"No aplica",TODAY()&gt;G27),"⚠ VENCIDO","")</f>
        <v/>
      </c>
      <c r="I27" s="0" t="str">
        <f aca="false">IF(H27="⚠ VENCIDO",COUNTIF($H$5:H27,"⚠ VENCIDO"),"")</f>
        <v/>
      </c>
    </row>
    <row r="28" customFormat="false" ht="33.75" hidden="false" customHeight="true" outlineLevel="0" collapsed="false">
      <c r="A28" s="38" t="n">
        <v>24</v>
      </c>
      <c r="B28" s="39" t="s">
        <v>172</v>
      </c>
      <c r="C28" s="40" t="s">
        <v>238</v>
      </c>
      <c r="D28" s="41" t="s">
        <v>239</v>
      </c>
      <c r="E28" s="44" t="s">
        <v>199</v>
      </c>
      <c r="F28" s="40"/>
      <c r="G28" s="45"/>
      <c r="H28" s="41" t="str">
        <f aca="true">IF(AND(G28&lt;&gt;"",E28&lt;&gt;"Completo",E28&lt;&gt;"No aplica",TODAY()&gt;G28),"⚠ VENCIDO","")</f>
        <v/>
      </c>
      <c r="I28" s="0" t="str">
        <f aca="false">IF(H28="⚠ VENCIDO",COUNTIF($H$5:H28,"⚠ VENCIDO"),"")</f>
        <v/>
      </c>
    </row>
    <row r="29" customFormat="false" ht="33.75" hidden="false" customHeight="true" outlineLevel="0" collapsed="false">
      <c r="A29" s="29" t="n">
        <v>25</v>
      </c>
      <c r="B29" s="30" t="s">
        <v>172</v>
      </c>
      <c r="C29" s="31" t="s">
        <v>240</v>
      </c>
      <c r="D29" s="32" t="s">
        <v>241</v>
      </c>
      <c r="E29" s="44" t="s">
        <v>199</v>
      </c>
      <c r="F29" s="31"/>
      <c r="G29" s="45"/>
      <c r="H29" s="32" t="str">
        <f aca="true">IF(AND(G29&lt;&gt;"",E29&lt;&gt;"Completo",E29&lt;&gt;"No aplica",TODAY()&gt;G29),"⚠ VENCIDO","")</f>
        <v/>
      </c>
      <c r="I29" s="0" t="str">
        <f aca="false">IF(H29="⚠ VENCIDO",COUNTIF($H$5:H29,"⚠ VENCIDO"),"")</f>
        <v/>
      </c>
    </row>
    <row r="30" customFormat="false" ht="33.75" hidden="false" customHeight="true" outlineLevel="0" collapsed="false">
      <c r="A30" s="38" t="n">
        <v>26</v>
      </c>
      <c r="B30" s="39" t="s">
        <v>172</v>
      </c>
      <c r="C30" s="40" t="s">
        <v>242</v>
      </c>
      <c r="D30" s="41" t="s">
        <v>243</v>
      </c>
      <c r="E30" s="44" t="s">
        <v>199</v>
      </c>
      <c r="F30" s="40"/>
      <c r="G30" s="45"/>
      <c r="H30" s="41" t="str">
        <f aca="true">IF(AND(G30&lt;&gt;"",E30&lt;&gt;"Completo",E30&lt;&gt;"No aplica",TODAY()&gt;G30),"⚠ VENCIDO","")</f>
        <v/>
      </c>
      <c r="I30" s="0" t="str">
        <f aca="false">IF(H30="⚠ VENCIDO",COUNTIF($H$5:H30,"⚠ VENCIDO"),"")</f>
        <v/>
      </c>
    </row>
    <row r="32" customFormat="false" ht="15" hidden="false" customHeight="false" outlineLevel="0" collapsed="false">
      <c r="B32" s="46" t="s">
        <v>244</v>
      </c>
      <c r="C32" s="46" t="str">
        <f aca="false">COUNTIF(E5:E30,"Completo")&amp;" de "&amp;COUNTA(E5:E30)&amp;" completos"</f>
        <v>0 de 26 completos</v>
      </c>
      <c r="E32" s="46" t="s">
        <v>245</v>
      </c>
      <c r="F32" s="47" t="n">
        <f aca="false">COUNTIF(H5:H30,"⚠ VENCIDO")</f>
        <v>0</v>
      </c>
    </row>
  </sheetData>
  <autoFilter ref="A4:H30"/>
  <mergeCells count="2">
    <mergeCell ref="A1:G1"/>
    <mergeCell ref="A2:H2"/>
  </mergeCells>
  <conditionalFormatting sqref="E5:E30">
    <cfRule type="cellIs" priority="2" operator="equal" aboveAverage="0" equalAverage="0" bottom="0" percent="0" rank="0" text="" dxfId="13">
      <formula>"Pendiente"</formula>
    </cfRule>
    <cfRule type="cellIs" priority="3" operator="equal" aboveAverage="0" equalAverage="0" bottom="0" percent="0" rank="0" text="" dxfId="14">
      <formula>"En proceso"</formula>
    </cfRule>
    <cfRule type="cellIs" priority="4" operator="equal" aboveAverage="0" equalAverage="0" bottom="0" percent="0" rank="0" text="" dxfId="15">
      <formula>"Completo"</formula>
    </cfRule>
    <cfRule type="cellIs" priority="5" operator="equal" aboveAverage="0" equalAverage="0" bottom="0" percent="0" rank="0" text="" dxfId="17">
      <formula>"No aplica"</formula>
    </cfRule>
  </conditionalFormatting>
  <conditionalFormatting sqref="H5:H30">
    <cfRule type="cellIs" priority="6" operator="equal" aboveAverage="0" equalAverage="0" bottom="0" percent="0" rank="0" text="" dxfId="13">
      <formula>"⚠ VENCIDO"</formula>
    </cfRule>
  </conditionalFormatting>
  <dataValidations count="1">
    <dataValidation allowBlank="false" errorStyle="stop" operator="between" prompt="Marca si este documento está Completo, En proceso, Pendiente o No aplica. La Matriz de Riesgo recalculará el riesgo residual sola." promptTitle="Estatus del documento" showDropDown="false" showErrorMessage="false" showInputMessage="true" sqref="E5:E30" type="list">
      <formula1>"Pendiente,En proceso,Completo,No aplica"</formula1>
      <formula2>0</formula2>
    </dataValidation>
  </dataValidations>
  <hyperlinks>
    <hyperlink ref="H1" r:id="rId1" location="'Inicio'!A1" display="🏠 Inicio"/>
  </hyperlink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55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5" topLeftCell="A6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6"/>
    <col collapsed="false" customWidth="true" hidden="false" outlineLevel="0" max="2" min="2" style="0" width="22"/>
    <col collapsed="false" customWidth="true" hidden="false" outlineLevel="0" max="3" min="3" style="0" width="34"/>
    <col collapsed="false" customWidth="true" hidden="false" outlineLevel="0" max="4" min="4" style="0" width="15"/>
    <col collapsed="false" customWidth="true" hidden="false" outlineLevel="0" max="5" min="5" style="0" width="13"/>
    <col collapsed="false" customWidth="true" hidden="false" outlineLevel="0" max="6" min="6" style="0" width="26"/>
  </cols>
  <sheetData>
    <row r="1" customFormat="false" ht="31.5" hidden="false" customHeight="true" outlineLevel="0" collapsed="false">
      <c r="A1" s="48" t="s">
        <v>246</v>
      </c>
      <c r="B1" s="48"/>
      <c r="C1" s="48"/>
      <c r="D1" s="48"/>
      <c r="E1" s="48"/>
      <c r="F1" s="14" t="s">
        <v>32</v>
      </c>
    </row>
    <row r="2" customFormat="false" ht="18" hidden="false" customHeight="true" outlineLevel="0" collapsed="false">
      <c r="A2" s="49" t="s">
        <v>247</v>
      </c>
      <c r="B2" s="49"/>
      <c r="C2" s="49"/>
      <c r="D2" s="49"/>
      <c r="E2" s="49"/>
      <c r="F2" s="49"/>
    </row>
    <row r="3" customFormat="false" ht="6" hidden="false" customHeight="true" outlineLevel="0" collapsed="false"/>
    <row r="4" customFormat="false" ht="24" hidden="false" customHeight="true" outlineLevel="0" collapsed="false">
      <c r="A4" s="50" t="str">
        <f aca="false">"Riesgos a atender ya: "&amp;COUNTIF('Matriz de Riesgo'!$Q$5:$Q$23,"Atender ya")</f>
        <v>Riesgos a atender ya: 15</v>
      </c>
      <c r="B4" s="50"/>
      <c r="C4" s="50"/>
      <c r="D4" s="50" t="str">
        <f aca="false">"Documentos vencidos: "&amp;COUNTIF('Checklist Evidencia'!$H$5:$H$30,"⚠ VENCIDO")</f>
        <v>Documentos vencidos: 0</v>
      </c>
      <c r="E4" s="50"/>
      <c r="F4" s="50"/>
    </row>
    <row r="5" customFormat="false" ht="9.75" hidden="false" customHeight="true" outlineLevel="0" collapsed="false"/>
    <row r="6" customFormat="false" ht="15" hidden="false" customHeight="false" outlineLevel="0" collapsed="false">
      <c r="A6" s="51" t="s">
        <v>248</v>
      </c>
      <c r="B6" s="51"/>
      <c r="C6" s="51"/>
      <c r="D6" s="51"/>
      <c r="E6" s="51"/>
      <c r="F6" s="51"/>
    </row>
    <row r="7" customFormat="false" ht="21.75" hidden="false" customHeight="true" outlineLevel="0" collapsed="false">
      <c r="A7" s="52" t="s">
        <v>249</v>
      </c>
      <c r="B7" s="52" t="s">
        <v>250</v>
      </c>
      <c r="C7" s="52" t="s">
        <v>251</v>
      </c>
      <c r="D7" s="52" t="s">
        <v>252</v>
      </c>
      <c r="E7" s="52" t="s">
        <v>121</v>
      </c>
      <c r="F7" s="52" t="s">
        <v>253</v>
      </c>
    </row>
    <row r="8" customFormat="false" ht="31.5" hidden="false" customHeight="true" outlineLevel="0" collapsed="false">
      <c r="A8" s="53" t="n">
        <f aca="false">IF(1&lt;=COUNTIF('Matriz de Riesgo'!$Q$5:$Q$23,"Atender ya"),IFERROR(INDEX('Matriz de Riesgo'!$A$5:$A$23,MATCH(1,'Matriz de Riesgo'!$P$5:$P$23,0)),""),"")</f>
        <v>1</v>
      </c>
      <c r="B8" s="53" t="str">
        <f aca="false">IF(1&lt;=COUNTIF('Matriz de Riesgo'!$Q$5:$Q$23,"Atender ya"),IFERROR(INDEX('Matriz de Riesgo'!$B$5:$B$23,MATCH(1,'Matriz de Riesgo'!$P$5:$P$23,0)),""),"")</f>
        <v>A. Liderazgo, ética y conducta de directivos</v>
      </c>
      <c r="C8" s="31" t="str">
        <f aca="false">IF(1&lt;=COUNTIF('Matriz de Riesgo'!$Q$5:$Q$23,"Atender ya"),IFERROR(INDEX('Matriz de Riesgo'!$C$5:$C$23,MATCH(1,'Matriz de Riesgo'!$P$5:$P$23,0)),""),"")</f>
        <v>Vinculación mediática de socios o directivos con señalamientos de corrupción, lavado de dinero u otros delitos, incluso sin resolución judicial firme: el daño reputacional es inmediato e independiente de la veracidad jurídica.</v>
      </c>
      <c r="D8" s="54" t="str">
        <f aca="false">IF(1&lt;=COUNTIF('Matriz de Riesgo'!$Q$5:$Q$23,"Atender ya"),IFERROR(INDEX('Matriz de Riesgo'!$O$5:$O$23,MATCH(1,'Matriz de Riesgo'!$P$5:$P$23,0)),""),"")</f>
        <v>Alto</v>
      </c>
      <c r="E8" s="53" t="n">
        <f aca="false">IF(1&lt;=COUNTIF('Matriz de Riesgo'!$Q$5:$Q$23,"Atender ya"),IFERROR(INDEX('Matriz de Riesgo'!$P$5:$P$23,MATCH(1,'Matriz de Riesgo'!$P$5:$P$23,0)),""),"")</f>
        <v>1</v>
      </c>
      <c r="F8" s="31" t="str">
        <f aca="false">IF(1&lt;=COUNTIF('Matriz de Riesgo'!$Q$5:$Q$23,"Atender ya"),IFERROR(INDEX('Matriz de Riesgo'!$H$5:$H$23,MATCH(1,'Matriz de Riesgo'!$P$5:$P$23,0)),""),"")</f>
        <v>Protocolo de deslinde institucional inmediato; separación clara entre la conducta individual y la marca; comunicado con hechos verificables y asesoría legal y de comunicación coordinada desde la primera hora.</v>
      </c>
    </row>
    <row r="9" customFormat="false" ht="31.5" hidden="false" customHeight="true" outlineLevel="0" collapsed="false">
      <c r="A9" s="55" t="n">
        <f aca="false">IF(2&lt;=COUNTIF('Matriz de Riesgo'!$Q$5:$Q$23,"Atender ya"),IFERROR(INDEX('Matriz de Riesgo'!$A$5:$A$23,MATCH(2,'Matriz de Riesgo'!$P$5:$P$23,0)),""),"")</f>
        <v>5</v>
      </c>
      <c r="B9" s="55" t="str">
        <f aca="false">IF(2&lt;=COUNTIF('Matriz de Riesgo'!$Q$5:$Q$23,"Atender ya"),IFERROR(INDEX('Matriz de Riesgo'!$B$5:$B$23,MATCH(2,'Matriz de Riesgo'!$P$5:$P$23,0)),""),"")</f>
        <v>B. Comunicación digital, redes sociales y crisis virales</v>
      </c>
      <c r="C9" s="40" t="str">
        <f aca="false">IF(2&lt;=COUNTIF('Matriz de Riesgo'!$Q$5:$Q$23,"Atender ya"),IFERROR(INDEX('Matriz de Riesgo'!$C$5:$C$23,MATCH(2,'Matriz de Riesgo'!$P$5:$P$23,0)),""),"")</f>
        <v>Viralización acelerada de errores operativos o fallas de servicio en redes sociales, con potencial de escalar a tendencia nacional en cuestión de horas.</v>
      </c>
      <c r="D9" s="54" t="str">
        <f aca="false">IF(2&lt;=COUNTIF('Matriz de Riesgo'!$Q$5:$Q$23,"Atender ya"),IFERROR(INDEX('Matriz de Riesgo'!$O$5:$O$23,MATCH(2,'Matriz de Riesgo'!$P$5:$P$23,0)),""),"")</f>
        <v>Alto</v>
      </c>
      <c r="E9" s="55" t="n">
        <f aca="false">IF(2&lt;=COUNTIF('Matriz de Riesgo'!$Q$5:$Q$23,"Atender ya"),IFERROR(INDEX('Matriz de Riesgo'!$P$5:$P$23,MATCH(2,'Matriz de Riesgo'!$P$5:$P$23,0)),""),"")</f>
        <v>2</v>
      </c>
      <c r="F9" s="40" t="str">
        <f aca="false">IF(2&lt;=COUNTIF('Matriz de Riesgo'!$Q$5:$Q$23,"Atender ya"),IFERROR(INDEX('Matriz de Riesgo'!$H$5:$H$23,MATCH(2,'Matriz de Riesgo'!$P$5:$P$23,0)),""),"")</f>
        <v>Sistema de monitoreo en tiempo real (social listening); protocolo de respuesta con tiempos máximos definidos; entrenamiento de primera línea de atención al cliente.</v>
      </c>
    </row>
    <row r="10" customFormat="false" ht="31.5" hidden="false" customHeight="true" outlineLevel="0" collapsed="false">
      <c r="A10" s="53" t="n">
        <f aca="false">IF(3&lt;=COUNTIF('Matriz de Riesgo'!$Q$5:$Q$23,"Atender ya"),IFERROR(INDEX('Matriz de Riesgo'!$A$5:$A$23,MATCH(3,'Matriz de Riesgo'!$P$5:$P$23,0)),""),"")</f>
        <v>2</v>
      </c>
      <c r="B10" s="53" t="str">
        <f aca="false">IF(3&lt;=COUNTIF('Matriz de Riesgo'!$Q$5:$Q$23,"Atender ya"),IFERROR(INDEX('Matriz de Riesgo'!$B$5:$B$23,MATCH(3,'Matriz de Riesgo'!$P$5:$P$23,0)),""),"")</f>
        <v>A. Liderazgo, ética y conducta de directivos</v>
      </c>
      <c r="C10" s="31" t="str">
        <f aca="false">IF(3&lt;=COUNTIF('Matriz de Riesgo'!$Q$5:$Q$23,"Atender ya"),IFERROR(INDEX('Matriz de Riesgo'!$C$5:$C$23,MATCH(3,'Matriz de Riesgo'!$P$5:$P$23,0)),""),"")</f>
        <v>Ausencia de comité de crisis y de protocolo de vocería previamente definidos: la improvisación durante la crisis profundiza el daño reputacional.</v>
      </c>
      <c r="D10" s="54" t="str">
        <f aca="false">IF(3&lt;=COUNTIF('Matriz de Riesgo'!$Q$5:$Q$23,"Atender ya"),IFERROR(INDEX('Matriz de Riesgo'!$O$5:$O$23,MATCH(3,'Matriz de Riesgo'!$P$5:$P$23,0)),""),"")</f>
        <v>Alto</v>
      </c>
      <c r="E10" s="53" t="n">
        <f aca="false">IF(3&lt;=COUNTIF('Matriz de Riesgo'!$Q$5:$Q$23,"Atender ya"),IFERROR(INDEX('Matriz de Riesgo'!$P$5:$P$23,MATCH(3,'Matriz de Riesgo'!$P$5:$P$23,0)),""),"")</f>
        <v>3</v>
      </c>
      <c r="F10" s="31" t="str">
        <f aca="false">IF(3&lt;=COUNTIF('Matriz de Riesgo'!$Q$5:$Q$23,"Atender ya"),IFERROR(INDEX('Matriz de Riesgo'!$H$5:$H$23,MATCH(3,'Matriz de Riesgo'!$P$5:$P$23,0)),""),"")</f>
        <v>Constitución de un comité de crisis permanente con roles y suplentes; manual de mensajes clave (holding statements); simulacros periódicos de crisis mediática.</v>
      </c>
    </row>
    <row r="11" customFormat="false" ht="31.5" hidden="false" customHeight="true" outlineLevel="0" collapsed="false">
      <c r="A11" s="55" t="n">
        <f aca="false">IF(4&lt;=COUNTIF('Matriz de Riesgo'!$Q$5:$Q$23,"Atender ya"),IFERROR(INDEX('Matriz de Riesgo'!$A$5:$A$23,MATCH(4,'Matriz de Riesgo'!$P$5:$P$23,0)),""),"")</f>
        <v>3</v>
      </c>
      <c r="B11" s="55" t="str">
        <f aca="false">IF(4&lt;=COUNTIF('Matriz de Riesgo'!$Q$5:$Q$23,"Atender ya"),IFERROR(INDEX('Matriz de Riesgo'!$B$5:$B$23,MATCH(4,'Matriz de Riesgo'!$P$5:$P$23,0)),""),"")</f>
        <v>A. Liderazgo, ética y conducta de directivos</v>
      </c>
      <c r="C11" s="40" t="str">
        <f aca="false">IF(4&lt;=COUNTIF('Matriz de Riesgo'!$Q$5:$Q$23,"Atender ya"),IFERROR(INDEX('Matriz de Riesgo'!$C$5:$C$23,MATCH(4,'Matriz de Riesgo'!$P$5:$P$23,0)),""),"")</f>
        <v>Incoherencia entre el discurso público de la dirección y las prácticas internas (cultura organizacional, clima laboral): los colaboradores se vuelven embajadores involuntarios que exponen malas prácticas.</v>
      </c>
      <c r="D11" s="54" t="str">
        <f aca="false">IF(4&lt;=COUNTIF('Matriz de Riesgo'!$Q$5:$Q$23,"Atender ya"),IFERROR(INDEX('Matriz de Riesgo'!$O$5:$O$23,MATCH(4,'Matriz de Riesgo'!$P$5:$P$23,0)),""),"")</f>
        <v>Alto</v>
      </c>
      <c r="E11" s="55" t="n">
        <f aca="false">IF(4&lt;=COUNTIF('Matriz de Riesgo'!$Q$5:$Q$23,"Atender ya"),IFERROR(INDEX('Matriz de Riesgo'!$P$5:$P$23,MATCH(4,'Matriz de Riesgo'!$P$5:$P$23,0)),""),"")</f>
        <v>4</v>
      </c>
      <c r="F11" s="40" t="str">
        <f aca="false">IF(4&lt;=COUNTIF('Matriz de Riesgo'!$Q$5:$Q$23,"Atender ya"),IFERROR(INDEX('Matriz de Riesgo'!$H$5:$H$23,MATCH(4,'Matriz de Riesgo'!$P$5:$P$23,0)),""),"")</f>
        <v>Auditoría de coherencia entre política pública y práctica interna; canales de escucha a colaboradores; alineación de mensajes de marca empleadora con la realidad operativa.</v>
      </c>
    </row>
    <row r="12" customFormat="false" ht="31.5" hidden="false" customHeight="true" outlineLevel="0" collapsed="false">
      <c r="A12" s="53" t="n">
        <f aca="false">IF(5&lt;=COUNTIF('Matriz de Riesgo'!$Q$5:$Q$23,"Atender ya"),IFERROR(INDEX('Matriz de Riesgo'!$A$5:$A$23,MATCH(5,'Matriz de Riesgo'!$P$5:$P$23,0)),""),"")</f>
        <v>4</v>
      </c>
      <c r="B12" s="53" t="str">
        <f aca="false">IF(5&lt;=COUNTIF('Matriz de Riesgo'!$Q$5:$Q$23,"Atender ya"),IFERROR(INDEX('Matriz de Riesgo'!$B$5:$B$23,MATCH(5,'Matriz de Riesgo'!$P$5:$P$23,0)),""),"")</f>
        <v>A. Liderazgo, ética y conducta de directivos</v>
      </c>
      <c r="C12" s="31" t="str">
        <f aca="false">IF(5&lt;=COUNTIF('Matriz de Riesgo'!$Q$5:$Q$23,"Atender ya"),IFERROR(INDEX('Matriz de Riesgo'!$C$5:$C$23,MATCH(5,'Matriz de Riesgo'!$P$5:$P$23,0)),""),"")</f>
        <v>Debilidad del gobierno corporativo frente a riesgos éticos (conflictos de interés, corrupción): estos temas concentran el mayor rechazo social, con más del 95% de menciones negativas en estudios de riesgo reputacional en México.</v>
      </c>
      <c r="D12" s="54" t="str">
        <f aca="false">IF(5&lt;=COUNTIF('Matriz de Riesgo'!$Q$5:$Q$23,"Atender ya"),IFERROR(INDEX('Matriz de Riesgo'!$O$5:$O$23,MATCH(5,'Matriz de Riesgo'!$P$5:$P$23,0)),""),"")</f>
        <v>Alto</v>
      </c>
      <c r="E12" s="53" t="n">
        <f aca="false">IF(5&lt;=COUNTIF('Matriz de Riesgo'!$Q$5:$Q$23,"Atender ya"),IFERROR(INDEX('Matriz de Riesgo'!$P$5:$P$23,MATCH(5,'Matriz de Riesgo'!$P$5:$P$23,0)),""),"")</f>
        <v>5</v>
      </c>
      <c r="F12" s="31" t="str">
        <f aca="false">IF(5&lt;=COUNTIF('Matriz de Riesgo'!$Q$5:$Q$23,"Atender ya"),IFERROR(INDEX('Matriz de Riesgo'!$H$5:$H$23,MATCH(5,'Matriz de Riesgo'!$P$5:$P$23,0)),""),"")</f>
        <v>Código de ética y política de conflicto de interés con evidencia de cumplimiento; declaración patrimonial de directivos clave; canal de denuncias con seguimiento documentado.</v>
      </c>
    </row>
    <row r="13" customFormat="false" ht="31.5" hidden="false" customHeight="true" outlineLevel="0" collapsed="false">
      <c r="A13" s="55" t="n">
        <f aca="false">IF(6&lt;=COUNTIF('Matriz de Riesgo'!$Q$5:$Q$23,"Atender ya"),IFERROR(INDEX('Matriz de Riesgo'!$A$5:$A$23,MATCH(6,'Matriz de Riesgo'!$P$5:$P$23,0)),""),"")</f>
        <v>6</v>
      </c>
      <c r="B13" s="55" t="str">
        <f aca="false">IF(6&lt;=COUNTIF('Matriz de Riesgo'!$Q$5:$Q$23,"Atender ya"),IFERROR(INDEX('Matriz de Riesgo'!$B$5:$B$23,MATCH(6,'Matriz de Riesgo'!$P$5:$P$23,0)),""),"")</f>
        <v>B. Comunicación digital, redes sociales y crisis virales</v>
      </c>
      <c r="C13" s="40" t="str">
        <f aca="false">IF(6&lt;=COUNTIF('Matriz de Riesgo'!$Q$5:$Q$23,"Atender ya"),IFERROR(INDEX('Matriz de Riesgo'!$C$5:$C$23,MATCH(6,'Matriz de Riesgo'!$P$5:$P$23,0)),""),"")</f>
        <v>Ausencia de monitoreo continuo de menciones de marca en redes sociales y medios digitales que permita detectar una crisis en formación.</v>
      </c>
      <c r="D13" s="54" t="str">
        <f aca="false">IF(6&lt;=COUNTIF('Matriz de Riesgo'!$Q$5:$Q$23,"Atender ya"),IFERROR(INDEX('Matriz de Riesgo'!$O$5:$O$23,MATCH(6,'Matriz de Riesgo'!$P$5:$P$23,0)),""),"")</f>
        <v>Alto</v>
      </c>
      <c r="E13" s="55" t="n">
        <f aca="false">IF(6&lt;=COUNTIF('Matriz de Riesgo'!$Q$5:$Q$23,"Atender ya"),IFERROR(INDEX('Matriz de Riesgo'!$P$5:$P$23,MATCH(6,'Matriz de Riesgo'!$P$5:$P$23,0)),""),"")</f>
        <v>6</v>
      </c>
      <c r="F13" s="40" t="str">
        <f aca="false">IF(6&lt;=COUNTIF('Matriz de Riesgo'!$Q$5:$Q$23,"Atender ya"),IFERROR(INDEX('Matriz de Riesgo'!$H$5:$H$23,MATCH(6,'Matriz de Riesgo'!$P$5:$P$23,0)),""),"")</f>
        <v>Contratación o implementación de herramienta de social listening; reporte periódico de sentimiento de marca; alertas tempranas ante picos de menciones negativas.</v>
      </c>
    </row>
    <row r="14" customFormat="false" ht="31.5" hidden="false" customHeight="true" outlineLevel="0" collapsed="false">
      <c r="A14" s="53" t="n">
        <f aca="false">IF(7&lt;=COUNTIF('Matriz de Riesgo'!$Q$5:$Q$23,"Atender ya"),IFERROR(INDEX('Matriz de Riesgo'!$A$5:$A$23,MATCH(7,'Matriz de Riesgo'!$P$5:$P$23,0)),""),"")</f>
        <v>7</v>
      </c>
      <c r="B14" s="53" t="str">
        <f aca="false">IF(7&lt;=COUNTIF('Matriz de Riesgo'!$Q$5:$Q$23,"Atender ya"),IFERROR(INDEX('Matriz de Riesgo'!$B$5:$B$23,MATCH(7,'Matriz de Riesgo'!$P$5:$P$23,0)),""),"")</f>
        <v>B. Comunicación digital, redes sociales y crisis virales</v>
      </c>
      <c r="C14" s="31" t="str">
        <f aca="false">IF(7&lt;=COUNTIF('Matriz de Riesgo'!$Q$5:$Q$23,"Atender ya"),IFERROR(INDEX('Matriz de Riesgo'!$C$5:$C$23,MATCH(7,'Matriz de Riesgo'!$P$5:$P$23,0)),""),"")</f>
        <v>Silencio corporativo prolongado o respuesta improvisada ante una crisis digital: el silencio tiene un costo reputacional alto y profundiza la narrativa negativa.</v>
      </c>
      <c r="D14" s="54" t="str">
        <f aca="false">IF(7&lt;=COUNTIF('Matriz de Riesgo'!$Q$5:$Q$23,"Atender ya"),IFERROR(INDEX('Matriz de Riesgo'!$O$5:$O$23,MATCH(7,'Matriz de Riesgo'!$P$5:$P$23,0)),""),"")</f>
        <v>Alto</v>
      </c>
      <c r="E14" s="53" t="n">
        <f aca="false">IF(7&lt;=COUNTIF('Matriz de Riesgo'!$Q$5:$Q$23,"Atender ya"),IFERROR(INDEX('Matriz de Riesgo'!$P$5:$P$23,MATCH(7,'Matriz de Riesgo'!$P$5:$P$23,0)),""),"")</f>
        <v>7</v>
      </c>
      <c r="F14" s="31" t="str">
        <f aca="false">IF(7&lt;=COUNTIF('Matriz de Riesgo'!$Q$5:$Q$23,"Atender ya"),IFERROR(INDEX('Matriz de Riesgo'!$H$5:$H$23,MATCH(7,'Matriz de Riesgo'!$P$5:$P$23,0)),""),"")</f>
        <v>Ventana de respuesta objetivo (p. ej. primeras 2 horas); vocero único capacitado; mensajes de sostén (holding statements) pre-aprobados para uso inmediato.</v>
      </c>
    </row>
    <row r="15" customFormat="false" ht="31.5" hidden="false" customHeight="true" outlineLevel="0" collapsed="false">
      <c r="A15" s="55" t="n">
        <f aca="false">IF(8&lt;=COUNTIF('Matriz de Riesgo'!$Q$5:$Q$23,"Atender ya"),IFERROR(INDEX('Matriz de Riesgo'!$A$5:$A$23,MATCH(8,'Matriz de Riesgo'!$P$5:$P$23,0)),""),"")</f>
        <v>9</v>
      </c>
      <c r="B15" s="55" t="str">
        <f aca="false">IF(8&lt;=COUNTIF('Matriz de Riesgo'!$Q$5:$Q$23,"Atender ya"),IFERROR(INDEX('Matriz de Riesgo'!$B$5:$B$23,MATCH(8,'Matriz de Riesgo'!$P$5:$P$23,0)),""),"")</f>
        <v>B. Comunicación digital, redes sociales y crisis virales</v>
      </c>
      <c r="C15" s="40" t="str">
        <f aca="false">IF(8&lt;=COUNTIF('Matriz de Riesgo'!$Q$5:$Q$23,"Atender ya"),IFERROR(INDEX('Matriz de Riesgo'!$C$5:$C$23,MATCH(8,'Matriz de Riesgo'!$P$5:$P$23,0)),""),"")</f>
        <v>Cancelación social o boicot de consumidores por percepción de incoherencia ética o por una postura pública controvertida de la empresa o sus directivos.</v>
      </c>
      <c r="D15" s="54" t="str">
        <f aca="false">IF(8&lt;=COUNTIF('Matriz de Riesgo'!$Q$5:$Q$23,"Atender ya"),IFERROR(INDEX('Matriz de Riesgo'!$O$5:$O$23,MATCH(8,'Matriz de Riesgo'!$P$5:$P$23,0)),""),"")</f>
        <v>Alto</v>
      </c>
      <c r="E15" s="55" t="n">
        <f aca="false">IF(8&lt;=COUNTIF('Matriz de Riesgo'!$Q$5:$Q$23,"Atender ya"),IFERROR(INDEX('Matriz de Riesgo'!$P$5:$P$23,MATCH(8,'Matriz de Riesgo'!$P$5:$P$23,0)),""),"")</f>
        <v>8</v>
      </c>
      <c r="F15" s="40" t="str">
        <f aca="false">IF(8&lt;=COUNTIF('Matriz de Riesgo'!$Q$5:$Q$23,"Atender ya"),IFERROR(INDEX('Matriz de Riesgo'!$H$5:$H$23,MATCH(8,'Matriz de Riesgo'!$P$5:$P$23,0)),""),"")</f>
        <v>Análisis previo de sensibilidad social antes de posturas públicas; comité de revisión de comunicación institucional; estrategia de reconexión con públicos afectados.</v>
      </c>
    </row>
    <row r="16" customFormat="false" ht="31.5" hidden="false" customHeight="true" outlineLevel="0" collapsed="false">
      <c r="A16" s="53" t="n">
        <f aca="false">IF(9&lt;=COUNTIF('Matriz de Riesgo'!$Q$5:$Q$23,"Atender ya"),IFERROR(INDEX('Matriz de Riesgo'!$A$5:$A$23,MATCH(9,'Matriz de Riesgo'!$P$5:$P$23,0)),""),"")</f>
        <v>10</v>
      </c>
      <c r="B16" s="53" t="str">
        <f aca="false">IF(9&lt;=COUNTIF('Matriz de Riesgo'!$Q$5:$Q$23,"Atender ya"),IFERROR(INDEX('Matriz de Riesgo'!$B$5:$B$23,MATCH(9,'Matriz de Riesgo'!$P$5:$P$23,0)),""),"")</f>
        <v>C. Gobierno corporativo, cumplimiento y ESG/sostenibilidad</v>
      </c>
      <c r="C16" s="31" t="str">
        <f aca="false">IF(9&lt;=COUNTIF('Matriz de Riesgo'!$Q$5:$Q$23,"Atender ya"),IFERROR(INDEX('Matriz de Riesgo'!$C$5:$C$23,MATCH(9,'Matriz de Riesgo'!$P$5:$P$23,0)),""),"")</f>
        <v>Greenwashing: discrepancia entre lo declarado en el informe de sostenibilidad y la práctica real, con riesgo de litigios y sanciones regulatorias; el riesgo reputacional se transforma en riesgo financiero directo.</v>
      </c>
      <c r="D16" s="54" t="str">
        <f aca="false">IF(9&lt;=COUNTIF('Matriz de Riesgo'!$Q$5:$Q$23,"Atender ya"),IFERROR(INDEX('Matriz de Riesgo'!$O$5:$O$23,MATCH(9,'Matriz de Riesgo'!$P$5:$P$23,0)),""),"")</f>
        <v>Alto</v>
      </c>
      <c r="E16" s="53" t="n">
        <f aca="false">IF(9&lt;=COUNTIF('Matriz de Riesgo'!$Q$5:$Q$23,"Atender ya"),IFERROR(INDEX('Matriz de Riesgo'!$P$5:$P$23,MATCH(9,'Matriz de Riesgo'!$P$5:$P$23,0)),""),"")</f>
        <v>9</v>
      </c>
      <c r="F16" s="31" t="str">
        <f aca="false">IF(9&lt;=COUNTIF('Matriz de Riesgo'!$Q$5:$Q$23,"Atender ya"),IFERROR(INDEX('Matriz de Riesgo'!$H$5:$H$23,MATCH(9,'Matriz de Riesgo'!$P$5:$P$23,0)),""),"")</f>
        <v>Verificación externa (assurance) de los indicadores ESG reportados; trazabilidad documental de cada afirmación de sostenibilidad antes de su publicación.</v>
      </c>
    </row>
    <row r="17" customFormat="false" ht="31.5" hidden="false" customHeight="true" outlineLevel="0" collapsed="false">
      <c r="A17" s="55" t="n">
        <f aca="false">IF(10&lt;=COUNTIF('Matriz de Riesgo'!$Q$5:$Q$23,"Atender ya"),IFERROR(INDEX('Matriz de Riesgo'!$A$5:$A$23,MATCH(10,'Matriz de Riesgo'!$P$5:$P$23,0)),""),"")</f>
        <v>11</v>
      </c>
      <c r="B17" s="55" t="str">
        <f aca="false">IF(10&lt;=COUNTIF('Matriz de Riesgo'!$Q$5:$Q$23,"Atender ya"),IFERROR(INDEX('Matriz de Riesgo'!$B$5:$B$23,MATCH(10,'Matriz de Riesgo'!$P$5:$P$23,0)),""),"")</f>
        <v>C. Gobierno corporativo, cumplimiento y ESG/sostenibilidad</v>
      </c>
      <c r="C17" s="40" t="str">
        <f aca="false">IF(10&lt;=COUNTIF('Matriz de Riesgo'!$Q$5:$Q$23,"Atender ya"),IFERROR(INDEX('Matriz de Riesgo'!$C$5:$C$23,MATCH(10,'Matriz de Riesgo'!$P$5:$P$23,0)),""),"")</f>
        <v>Debilidad en la debida diligencia de proveedores y terceros en esquemas de nearshoring: la incorporación acelerada de proveedores locales sin control estricto incrementa la exposición a corrupción y lavado de dinero.</v>
      </c>
      <c r="D17" s="54" t="str">
        <f aca="false">IF(10&lt;=COUNTIF('Matriz de Riesgo'!$Q$5:$Q$23,"Atender ya"),IFERROR(INDEX('Matriz de Riesgo'!$O$5:$O$23,MATCH(10,'Matriz de Riesgo'!$P$5:$P$23,0)),""),"")</f>
        <v>Alto</v>
      </c>
      <c r="E17" s="55" t="n">
        <f aca="false">IF(10&lt;=COUNTIF('Matriz de Riesgo'!$Q$5:$Q$23,"Atender ya"),IFERROR(INDEX('Matriz de Riesgo'!$P$5:$P$23,MATCH(10,'Matriz de Riesgo'!$P$5:$P$23,0)),""),"")</f>
        <v>10</v>
      </c>
      <c r="F17" s="40" t="str">
        <f aca="false">IF(10&lt;=COUNTIF('Matriz de Riesgo'!$Q$5:$Q$23,"Atender ya"),IFERROR(INDEX('Matriz de Riesgo'!$H$5:$H$23,MATCH(10,'Matriz de Riesgo'!$P$5:$P$23,0)),""),"")</f>
        <v>Debida diligencia documentada de proveedores críticos; cláusulas anticorrupción y de cumplimiento en contratos; auditorías periódicas a la cadena de suministro.</v>
      </c>
    </row>
    <row r="18" customFormat="false" ht="31.5" hidden="false" customHeight="true" outlineLevel="0" collapsed="false">
      <c r="A18" s="53" t="n">
        <f aca="false">IF(11&lt;=COUNTIF('Matriz de Riesgo'!$Q$5:$Q$23,"Atender ya"),IFERROR(INDEX('Matriz de Riesgo'!$A$5:$A$23,MATCH(11,'Matriz de Riesgo'!$P$5:$P$23,0)),""),"")</f>
        <v>12</v>
      </c>
      <c r="B18" s="53" t="str">
        <f aca="false">IF(11&lt;=COUNTIF('Matriz de Riesgo'!$Q$5:$Q$23,"Atender ya"),IFERROR(INDEX('Matriz de Riesgo'!$B$5:$B$23,MATCH(11,'Matriz de Riesgo'!$P$5:$P$23,0)),""),"")</f>
        <v>C. Gobierno corporativo, cumplimiento y ESG/sostenibilidad</v>
      </c>
      <c r="C18" s="31" t="str">
        <f aca="false">IF(11&lt;=COUNTIF('Matriz de Riesgo'!$Q$5:$Q$23,"Atender ya"),IFERROR(INDEX('Matriz de Riesgo'!$C$5:$C$23,MATCH(11,'Matriz de Riesgo'!$P$5:$P$23,0)),""),"")</f>
        <v>Denuncias de acoso, discriminación o clima laboral tóxico que trascienden a la opinión pública.</v>
      </c>
      <c r="D18" s="54" t="str">
        <f aca="false">IF(11&lt;=COUNTIF('Matriz de Riesgo'!$Q$5:$Q$23,"Atender ya"),IFERROR(INDEX('Matriz de Riesgo'!$O$5:$O$23,MATCH(11,'Matriz de Riesgo'!$P$5:$P$23,0)),""),"")</f>
        <v>Alto</v>
      </c>
      <c r="E18" s="53" t="n">
        <f aca="false">IF(11&lt;=COUNTIF('Matriz de Riesgo'!$Q$5:$Q$23,"Atender ya"),IFERROR(INDEX('Matriz de Riesgo'!$P$5:$P$23,MATCH(11,'Matriz de Riesgo'!$P$5:$P$23,0)),""),"")</f>
        <v>11</v>
      </c>
      <c r="F18" s="31" t="str">
        <f aca="false">IF(11&lt;=COUNTIF('Matriz de Riesgo'!$Q$5:$Q$23,"Atender ya"),IFERROR(INDEX('Matriz de Riesgo'!$H$5:$H$23,MATCH(11,'Matriz de Riesgo'!$P$5:$P$23,0)),""),"")</f>
        <v>Política de prevención de acoso y discriminación con evidencia de capacitación; canal de denuncias confidencial con seguimiento documentado y cierre de casos.</v>
      </c>
    </row>
    <row r="19" customFormat="false" ht="31.5" hidden="false" customHeight="true" outlineLevel="0" collapsed="false">
      <c r="A19" s="55" t="n">
        <f aca="false">IF(12&lt;=COUNTIF('Matriz de Riesgo'!$Q$5:$Q$23,"Atender ya"),IFERROR(INDEX('Matriz de Riesgo'!$A$5:$A$23,MATCH(12,'Matriz de Riesgo'!$P$5:$P$23,0)),""),"")</f>
        <v>13</v>
      </c>
      <c r="B19" s="55" t="str">
        <f aca="false">IF(12&lt;=COUNTIF('Matriz de Riesgo'!$Q$5:$Q$23,"Atender ya"),IFERROR(INDEX('Matriz de Riesgo'!$B$5:$B$23,MATCH(12,'Matriz de Riesgo'!$P$5:$P$23,0)),""),"")</f>
        <v>C. Gobierno corporativo, cumplimiento y ESG/sostenibilidad</v>
      </c>
      <c r="C19" s="40" t="str">
        <f aca="false">IF(12&lt;=COUNTIF('Matriz de Riesgo'!$Q$5:$Q$23,"Atender ya"),IFERROR(INDEX('Matriz de Riesgo'!$C$5:$C$23,MATCH(12,'Matriz de Riesgo'!$P$5:$P$23,0)),""),"")</f>
        <v>Fallas en seguridad y salud ocupacional que derivan en accidentes con exposición mediática.</v>
      </c>
      <c r="D19" s="54" t="str">
        <f aca="false">IF(12&lt;=COUNTIF('Matriz de Riesgo'!$Q$5:$Q$23,"Atender ya"),IFERROR(INDEX('Matriz de Riesgo'!$O$5:$O$23,MATCH(12,'Matriz de Riesgo'!$P$5:$P$23,0)),""),"")</f>
        <v>Alto</v>
      </c>
      <c r="E19" s="55" t="n">
        <f aca="false">IF(12&lt;=COUNTIF('Matriz de Riesgo'!$Q$5:$Q$23,"Atender ya"),IFERROR(INDEX('Matriz de Riesgo'!$P$5:$P$23,MATCH(12,'Matriz de Riesgo'!$P$5:$P$23,0)),""),"")</f>
        <v>12</v>
      </c>
      <c r="F19" s="40" t="str">
        <f aca="false">IF(12&lt;=COUNTIF('Matriz de Riesgo'!$Q$5:$Q$23,"Atender ya"),IFERROR(INDEX('Matriz de Riesgo'!$H$5:$H$23,MATCH(12,'Matriz de Riesgo'!$P$5:$P$23,0)),""),"")</f>
        <v>Programa de seguridad y salud ocupacional con indicadores auditables; protocolo de comunicación inmediata ante incidentes graves.</v>
      </c>
    </row>
    <row r="20" customFormat="false" ht="31.5" hidden="false" customHeight="true" outlineLevel="0" collapsed="false">
      <c r="A20" s="53" t="n">
        <f aca="false">IF(13&lt;=COUNTIF('Matriz de Riesgo'!$Q$5:$Q$23,"Atender ya"),IFERROR(INDEX('Matriz de Riesgo'!$A$5:$A$23,MATCH(13,'Matriz de Riesgo'!$P$5:$P$23,0)),""),"")</f>
        <v>15</v>
      </c>
      <c r="B20" s="53" t="str">
        <f aca="false">IF(13&lt;=COUNTIF('Matriz de Riesgo'!$Q$5:$Q$23,"Atender ya"),IFERROR(INDEX('Matriz de Riesgo'!$B$5:$B$23,MATCH(13,'Matriz de Riesgo'!$P$5:$P$23,0)),""),"")</f>
        <v>D. Seguridad de la información, datos y continuidad operativa</v>
      </c>
      <c r="C20" s="31" t="str">
        <f aca="false">IF(13&lt;=COUNTIF('Matriz de Riesgo'!$Q$5:$Q$23,"Atender ya"),IFERROR(INDEX('Matriz de Riesgo'!$C$5:$C$23,MATCH(13,'Matriz de Riesgo'!$P$5:$P$23,0)),""),"")</f>
        <v>Filtración de datos personales de clientes o colaboradores, o ataque cibernético con exposición pública, que impacta la operación y la confianza de consumidores y mercados.</v>
      </c>
      <c r="D20" s="54" t="str">
        <f aca="false">IF(13&lt;=COUNTIF('Matriz de Riesgo'!$Q$5:$Q$23,"Atender ya"),IFERROR(INDEX('Matriz de Riesgo'!$O$5:$O$23,MATCH(13,'Matriz de Riesgo'!$P$5:$P$23,0)),""),"")</f>
        <v>Alto</v>
      </c>
      <c r="E20" s="53" t="n">
        <f aca="false">IF(13&lt;=COUNTIF('Matriz de Riesgo'!$Q$5:$Q$23,"Atender ya"),IFERROR(INDEX('Matriz de Riesgo'!$P$5:$P$23,MATCH(13,'Matriz de Riesgo'!$P$5:$P$23,0)),""),"")</f>
        <v>13</v>
      </c>
      <c r="F20" s="31" t="str">
        <f aca="false">IF(13&lt;=COUNTIF('Matriz de Riesgo'!$Q$5:$Q$23,"Atender ya"),IFERROR(INDEX('Matriz de Riesgo'!$H$5:$H$23,MATCH(13,'Matriz de Riesgo'!$P$5:$P$23,0)),""),"")</f>
        <v>Plan de respuesta a incidentes de ciberseguridad; comunicación proactiva a afectados conforme a la normativa de protección de datos; simulacros de brecha de datos.</v>
      </c>
    </row>
    <row r="21" customFormat="false" ht="31.5" hidden="false" customHeight="true" outlineLevel="0" collapsed="false">
      <c r="A21" s="55" t="n">
        <f aca="false">IF(14&lt;=COUNTIF('Matriz de Riesgo'!$Q$5:$Q$23,"Atender ya"),IFERROR(INDEX('Matriz de Riesgo'!$A$5:$A$23,MATCH(14,'Matriz de Riesgo'!$P$5:$P$23,0)),""),"")</f>
        <v>18</v>
      </c>
      <c r="B21" s="55" t="str">
        <f aca="false">IF(14&lt;=COUNTIF('Matriz de Riesgo'!$Q$5:$Q$23,"Atender ya"),IFERROR(INDEX('Matriz de Riesgo'!$B$5:$B$23,MATCH(14,'Matriz de Riesgo'!$P$5:$P$23,0)),""),"")</f>
        <v>D. Seguridad de la información, datos y continuidad operativa</v>
      </c>
      <c r="C21" s="40" t="str">
        <f aca="false">IF(14&lt;=COUNTIF('Matriz de Riesgo'!$Q$5:$Q$23,"Atender ya"),IFERROR(INDEX('Matriz de Riesgo'!$C$5:$C$23,MATCH(14,'Matriz de Riesgo'!$P$5:$P$23,0)),""),"")</f>
        <v>Litigios o controversias regulatorias de alto perfil mediático (fiscal, laboral, ambiental) sin estrategia de comunicación coordinada con el área legal.</v>
      </c>
      <c r="D21" s="54" t="str">
        <f aca="false">IF(14&lt;=COUNTIF('Matriz de Riesgo'!$Q$5:$Q$23,"Atender ya"),IFERROR(INDEX('Matriz de Riesgo'!$O$5:$O$23,MATCH(14,'Matriz de Riesgo'!$P$5:$P$23,0)),""),"")</f>
        <v>Alto</v>
      </c>
      <c r="E21" s="55" t="n">
        <f aca="false">IF(14&lt;=COUNTIF('Matriz de Riesgo'!$Q$5:$Q$23,"Atender ya"),IFERROR(INDEX('Matriz de Riesgo'!$P$5:$P$23,MATCH(14,'Matriz de Riesgo'!$P$5:$P$23,0)),""),"")</f>
        <v>14</v>
      </c>
      <c r="F21" s="40" t="str">
        <f aca="false">IF(14&lt;=COUNTIF('Matriz de Riesgo'!$Q$5:$Q$23,"Atender ya"),IFERROR(INDEX('Matriz de Riesgo'!$H$5:$H$23,MATCH(14,'Matriz de Riesgo'!$P$5:$P$23,0)),""),"")</f>
        <v>Protocolo de coordinación legal-comunicación desde el inicio de cualquier controversia con potencial mediático; mensajes consistentes entre ambas áreas.</v>
      </c>
    </row>
    <row r="22" customFormat="false" ht="31.5" hidden="false" customHeight="true" outlineLevel="0" collapsed="false">
      <c r="A22" s="53" t="n">
        <f aca="false">IF(15&lt;=COUNTIF('Matriz de Riesgo'!$Q$5:$Q$23,"Atender ya"),IFERROR(INDEX('Matriz de Riesgo'!$A$5:$A$23,MATCH(15,'Matriz de Riesgo'!$P$5:$P$23,0)),""),"")</f>
        <v>19</v>
      </c>
      <c r="B22" s="53" t="str">
        <f aca="false">IF(15&lt;=COUNTIF('Matriz de Riesgo'!$Q$5:$Q$23,"Atender ya"),IFERROR(INDEX('Matriz de Riesgo'!$B$5:$B$23,MATCH(15,'Matriz de Riesgo'!$P$5:$P$23,0)),""),"")</f>
        <v>D. Seguridad de la información, datos y continuidad operativa</v>
      </c>
      <c r="C22" s="31" t="str">
        <f aca="false">IF(15&lt;=COUNTIF('Matriz de Riesgo'!$Q$5:$Q$23,"Atender ya"),IFERROR(INDEX('Matriz de Riesgo'!$C$5:$C$23,MATCH(15,'Matriz de Riesgo'!$P$5:$P$23,0)),""),"")</f>
        <v>Falta de simulacros y comités de crisis probados: la reputación se juega en la velocidad y consistencia de la respuesta, no solo en el contenido del mensaje.</v>
      </c>
      <c r="D22" s="54" t="str">
        <f aca="false">IF(15&lt;=COUNTIF('Matriz de Riesgo'!$Q$5:$Q$23,"Atender ya"),IFERROR(INDEX('Matriz de Riesgo'!$O$5:$O$23,MATCH(15,'Matriz de Riesgo'!$P$5:$P$23,0)),""),"")</f>
        <v>Alto</v>
      </c>
      <c r="E22" s="53" t="n">
        <f aca="false">IF(15&lt;=COUNTIF('Matriz de Riesgo'!$Q$5:$Q$23,"Atender ya"),IFERROR(INDEX('Matriz de Riesgo'!$P$5:$P$23,MATCH(15,'Matriz de Riesgo'!$P$5:$P$23,0)),""),"")</f>
        <v>15</v>
      </c>
      <c r="F22" s="31" t="str">
        <f aca="false">IF(15&lt;=COUNTIF('Matriz de Riesgo'!$Q$5:$Q$23,"Atender ya"),IFERROR(INDEX('Matriz de Riesgo'!$H$5:$H$23,MATCH(15,'Matriz de Riesgo'!$P$5:$P$23,0)),""),"")</f>
        <v>Calendario anual de simulacros de crisis reputacional; evaluación posterior a cada simulacro; actualización del manual de crisis con las lecciones aprendidas.</v>
      </c>
    </row>
    <row r="23" customFormat="false" ht="31.5" hidden="false" customHeight="true" outlineLevel="0" collapsed="false">
      <c r="A23" s="55" t="str">
        <f aca="false">IF(16&lt;=COUNTIF('Matriz de Riesgo'!$Q$5:$Q$23,"Atender ya"),IFERROR(INDEX('Matriz de Riesgo'!$A$5:$A$23,MATCH(16,'Matriz de Riesgo'!$P$5:$P$23,0)),""),"")</f>
        <v/>
      </c>
      <c r="B23" s="55" t="str">
        <f aca="false">IF(16&lt;=COUNTIF('Matriz de Riesgo'!$Q$5:$Q$23,"Atender ya"),IFERROR(INDEX('Matriz de Riesgo'!$B$5:$B$23,MATCH(16,'Matriz de Riesgo'!$P$5:$P$23,0)),""),"")</f>
        <v/>
      </c>
      <c r="C23" s="40" t="str">
        <f aca="false">IF(16&lt;=COUNTIF('Matriz de Riesgo'!$Q$5:$Q$23,"Atender ya"),IFERROR(INDEX('Matriz de Riesgo'!$C$5:$C$23,MATCH(16,'Matriz de Riesgo'!$P$5:$P$23,0)),""),"")</f>
        <v/>
      </c>
      <c r="D23" s="54" t="str">
        <f aca="false">IF(16&lt;=COUNTIF('Matriz de Riesgo'!$Q$5:$Q$23,"Atender ya"),IFERROR(INDEX('Matriz de Riesgo'!$O$5:$O$23,MATCH(16,'Matriz de Riesgo'!$P$5:$P$23,0)),""),"")</f>
        <v/>
      </c>
      <c r="E23" s="55" t="str">
        <f aca="false">IF(16&lt;=COUNTIF('Matriz de Riesgo'!$Q$5:$Q$23,"Atender ya"),IFERROR(INDEX('Matriz de Riesgo'!$P$5:$P$23,MATCH(16,'Matriz de Riesgo'!$P$5:$P$23,0)),""),"")</f>
        <v/>
      </c>
      <c r="F23" s="40" t="str">
        <f aca="false">IF(16&lt;=COUNTIF('Matriz de Riesgo'!$Q$5:$Q$23,"Atender ya"),IFERROR(INDEX('Matriz de Riesgo'!$H$5:$H$23,MATCH(16,'Matriz de Riesgo'!$P$5:$P$23,0)),""),"")</f>
        <v/>
      </c>
    </row>
    <row r="24" customFormat="false" ht="31.5" hidden="false" customHeight="true" outlineLevel="0" collapsed="false">
      <c r="A24" s="53" t="str">
        <f aca="false">IF(17&lt;=COUNTIF('Matriz de Riesgo'!$Q$5:$Q$23,"Atender ya"),IFERROR(INDEX('Matriz de Riesgo'!$A$5:$A$23,MATCH(17,'Matriz de Riesgo'!$P$5:$P$23,0)),""),"")</f>
        <v/>
      </c>
      <c r="B24" s="53" t="str">
        <f aca="false">IF(17&lt;=COUNTIF('Matriz de Riesgo'!$Q$5:$Q$23,"Atender ya"),IFERROR(INDEX('Matriz de Riesgo'!$B$5:$B$23,MATCH(17,'Matriz de Riesgo'!$P$5:$P$23,0)),""),"")</f>
        <v/>
      </c>
      <c r="C24" s="31" t="str">
        <f aca="false">IF(17&lt;=COUNTIF('Matriz de Riesgo'!$Q$5:$Q$23,"Atender ya"),IFERROR(INDEX('Matriz de Riesgo'!$C$5:$C$23,MATCH(17,'Matriz de Riesgo'!$P$5:$P$23,0)),""),"")</f>
        <v/>
      </c>
      <c r="D24" s="54" t="str">
        <f aca="false">IF(17&lt;=COUNTIF('Matriz de Riesgo'!$Q$5:$Q$23,"Atender ya"),IFERROR(INDEX('Matriz de Riesgo'!$O$5:$O$23,MATCH(17,'Matriz de Riesgo'!$P$5:$P$23,0)),""),"")</f>
        <v/>
      </c>
      <c r="E24" s="53" t="str">
        <f aca="false">IF(17&lt;=COUNTIF('Matriz de Riesgo'!$Q$5:$Q$23,"Atender ya"),IFERROR(INDEX('Matriz de Riesgo'!$P$5:$P$23,MATCH(17,'Matriz de Riesgo'!$P$5:$P$23,0)),""),"")</f>
        <v/>
      </c>
      <c r="F24" s="31" t="str">
        <f aca="false">IF(17&lt;=COUNTIF('Matriz de Riesgo'!$Q$5:$Q$23,"Atender ya"),IFERROR(INDEX('Matriz de Riesgo'!$H$5:$H$23,MATCH(17,'Matriz de Riesgo'!$P$5:$P$23,0)),""),"")</f>
        <v/>
      </c>
    </row>
    <row r="25" customFormat="false" ht="31.5" hidden="false" customHeight="true" outlineLevel="0" collapsed="false">
      <c r="A25" s="55" t="str">
        <f aca="false">IF(18&lt;=COUNTIF('Matriz de Riesgo'!$Q$5:$Q$23,"Atender ya"),IFERROR(INDEX('Matriz de Riesgo'!$A$5:$A$23,MATCH(18,'Matriz de Riesgo'!$P$5:$P$23,0)),""),"")</f>
        <v/>
      </c>
      <c r="B25" s="55" t="str">
        <f aca="false">IF(18&lt;=COUNTIF('Matriz de Riesgo'!$Q$5:$Q$23,"Atender ya"),IFERROR(INDEX('Matriz de Riesgo'!$B$5:$B$23,MATCH(18,'Matriz de Riesgo'!$P$5:$P$23,0)),""),"")</f>
        <v/>
      </c>
      <c r="C25" s="40" t="str">
        <f aca="false">IF(18&lt;=COUNTIF('Matriz de Riesgo'!$Q$5:$Q$23,"Atender ya"),IFERROR(INDEX('Matriz de Riesgo'!$C$5:$C$23,MATCH(18,'Matriz de Riesgo'!$P$5:$P$23,0)),""),"")</f>
        <v/>
      </c>
      <c r="D25" s="54" t="str">
        <f aca="false">IF(18&lt;=COUNTIF('Matriz de Riesgo'!$Q$5:$Q$23,"Atender ya"),IFERROR(INDEX('Matriz de Riesgo'!$O$5:$O$23,MATCH(18,'Matriz de Riesgo'!$P$5:$P$23,0)),""),"")</f>
        <v/>
      </c>
      <c r="E25" s="55" t="str">
        <f aca="false">IF(18&lt;=COUNTIF('Matriz de Riesgo'!$Q$5:$Q$23,"Atender ya"),IFERROR(INDEX('Matriz de Riesgo'!$P$5:$P$23,MATCH(18,'Matriz de Riesgo'!$P$5:$P$23,0)),""),"")</f>
        <v/>
      </c>
      <c r="F25" s="40" t="str">
        <f aca="false">IF(18&lt;=COUNTIF('Matriz de Riesgo'!$Q$5:$Q$23,"Atender ya"),IFERROR(INDEX('Matriz de Riesgo'!$H$5:$H$23,MATCH(18,'Matriz de Riesgo'!$P$5:$P$23,0)),""),"")</f>
        <v/>
      </c>
    </row>
    <row r="26" customFormat="false" ht="31.5" hidden="false" customHeight="true" outlineLevel="0" collapsed="false">
      <c r="A26" s="53" t="str">
        <f aca="false">IF(19&lt;=COUNTIF('Matriz de Riesgo'!$Q$5:$Q$23,"Atender ya"),IFERROR(INDEX('Matriz de Riesgo'!$A$5:$A$23,MATCH(19,'Matriz de Riesgo'!$P$5:$P$23,0)),""),"")</f>
        <v/>
      </c>
      <c r="B26" s="53" t="str">
        <f aca="false">IF(19&lt;=COUNTIF('Matriz de Riesgo'!$Q$5:$Q$23,"Atender ya"),IFERROR(INDEX('Matriz de Riesgo'!$B$5:$B$23,MATCH(19,'Matriz de Riesgo'!$P$5:$P$23,0)),""),"")</f>
        <v/>
      </c>
      <c r="C26" s="31" t="str">
        <f aca="false">IF(19&lt;=COUNTIF('Matriz de Riesgo'!$Q$5:$Q$23,"Atender ya"),IFERROR(INDEX('Matriz de Riesgo'!$C$5:$C$23,MATCH(19,'Matriz de Riesgo'!$P$5:$P$23,0)),""),"")</f>
        <v/>
      </c>
      <c r="D26" s="54" t="str">
        <f aca="false">IF(19&lt;=COUNTIF('Matriz de Riesgo'!$Q$5:$Q$23,"Atender ya"),IFERROR(INDEX('Matriz de Riesgo'!$O$5:$O$23,MATCH(19,'Matriz de Riesgo'!$P$5:$P$23,0)),""),"")</f>
        <v/>
      </c>
      <c r="E26" s="53" t="str">
        <f aca="false">IF(19&lt;=COUNTIF('Matriz de Riesgo'!$Q$5:$Q$23,"Atender ya"),IFERROR(INDEX('Matriz de Riesgo'!$P$5:$P$23,MATCH(19,'Matriz de Riesgo'!$P$5:$P$23,0)),""),"")</f>
        <v/>
      </c>
      <c r="F26" s="31" t="str">
        <f aca="false">IF(19&lt;=COUNTIF('Matriz de Riesgo'!$Q$5:$Q$23,"Atender ya"),IFERROR(INDEX('Matriz de Riesgo'!$H$5:$H$23,MATCH(19,'Matriz de Riesgo'!$P$5:$P$23,0)),""),"")</f>
        <v/>
      </c>
    </row>
    <row r="28" customFormat="false" ht="15" hidden="false" customHeight="false" outlineLevel="0" collapsed="false">
      <c r="A28" s="51" t="s">
        <v>254</v>
      </c>
      <c r="B28" s="51"/>
      <c r="C28" s="51"/>
      <c r="D28" s="51"/>
      <c r="E28" s="51"/>
      <c r="F28" s="51"/>
    </row>
    <row r="29" customFormat="false" ht="21.75" hidden="false" customHeight="true" outlineLevel="0" collapsed="false">
      <c r="A29" s="52" t="s">
        <v>255</v>
      </c>
      <c r="B29" s="52" t="s">
        <v>250</v>
      </c>
      <c r="C29" s="52" t="s">
        <v>256</v>
      </c>
      <c r="D29" s="52" t="s">
        <v>193</v>
      </c>
      <c r="E29" s="52" t="s">
        <v>195</v>
      </c>
      <c r="F29" s="52" t="s">
        <v>257</v>
      </c>
    </row>
    <row r="30" customFormat="false" ht="27.75" hidden="false" customHeight="true" outlineLevel="0" collapsed="false">
      <c r="A30" s="31" t="str">
        <f aca="false">IF(1&lt;=COUNTIF('Checklist Evidencia'!$H$5:$H$30,"⚠ VENCIDO"),IFERROR(INDEX('Checklist Evidencia'!$C$5:$C$30,MATCH(1,'Checklist Evidencia'!$I$5:$I$30,0)),""),"")</f>
        <v/>
      </c>
      <c r="B30" s="53" t="str">
        <f aca="false">IF(1&lt;=COUNTIF('Checklist Evidencia'!$H$5:$H$30,"⚠ VENCIDO"),IFERROR(INDEX('Checklist Evidencia'!$B$5:$B$30,MATCH(1,'Checklist Evidencia'!$I$5:$I$30,0)),""),"")</f>
        <v/>
      </c>
      <c r="C30" s="53" t="str">
        <f aca="false">IF(1&lt;=COUNTIF('Checklist Evidencia'!$H$5:$H$30,"⚠ VENCIDO"),IFERROR(INDEX('Checklist Evidencia'!$D$5:$D$30,MATCH(1,'Checklist Evidencia'!$I$5:$I$30,0)),""),"")</f>
        <v/>
      </c>
      <c r="D30" s="53" t="str">
        <f aca="false">IF(1&lt;=COUNTIF('Checklist Evidencia'!$H$5:$H$30,"⚠ VENCIDO"),IFERROR(INDEX('Checklist Evidencia'!$E$5:$E$30,MATCH(1,'Checklist Evidencia'!$I$5:$I$30,0)),""),"")</f>
        <v/>
      </c>
      <c r="E30" s="56" t="str">
        <f aca="false">IF(1&lt;=COUNTIF('Checklist Evidencia'!$H$5:$H$30,"⚠ VENCIDO"),IFERROR(INDEX('Checklist Evidencia'!$G$5:$G$30,MATCH(1,'Checklist Evidencia'!$I$5:$I$30,0)),""),"")</f>
        <v/>
      </c>
      <c r="F30" s="57" t="str">
        <f aca="true">IF(AND(1&lt;=COUNTIF('Checklist Evidencia'!$H$5:$H$30,"⚠ VENCIDO"),E30&lt;&gt;""),TODAY()-E30,"")</f>
        <v/>
      </c>
    </row>
    <row r="31" customFormat="false" ht="27.75" hidden="false" customHeight="true" outlineLevel="0" collapsed="false">
      <c r="A31" s="40" t="str">
        <f aca="false">IF(2&lt;=COUNTIF('Checklist Evidencia'!$H$5:$H$30,"⚠ VENCIDO"),IFERROR(INDEX('Checklist Evidencia'!$C$5:$C$30,MATCH(2,'Checklist Evidencia'!$I$5:$I$30,0)),""),"")</f>
        <v/>
      </c>
      <c r="B31" s="55" t="str">
        <f aca="false">IF(2&lt;=COUNTIF('Checklist Evidencia'!$H$5:$H$30,"⚠ VENCIDO"),IFERROR(INDEX('Checklist Evidencia'!$B$5:$B$30,MATCH(2,'Checklist Evidencia'!$I$5:$I$30,0)),""),"")</f>
        <v/>
      </c>
      <c r="C31" s="55" t="str">
        <f aca="false">IF(2&lt;=COUNTIF('Checklist Evidencia'!$H$5:$H$30,"⚠ VENCIDO"),IFERROR(INDEX('Checklist Evidencia'!$D$5:$D$30,MATCH(2,'Checklist Evidencia'!$I$5:$I$30,0)),""),"")</f>
        <v/>
      </c>
      <c r="D31" s="55" t="str">
        <f aca="false">IF(2&lt;=COUNTIF('Checklist Evidencia'!$H$5:$H$30,"⚠ VENCIDO"),IFERROR(INDEX('Checklist Evidencia'!$E$5:$E$30,MATCH(2,'Checklist Evidencia'!$I$5:$I$30,0)),""),"")</f>
        <v/>
      </c>
      <c r="E31" s="58" t="str">
        <f aca="false">IF(2&lt;=COUNTIF('Checklist Evidencia'!$H$5:$H$30,"⚠ VENCIDO"),IFERROR(INDEX('Checklist Evidencia'!$G$5:$G$30,MATCH(2,'Checklist Evidencia'!$I$5:$I$30,0)),""),"")</f>
        <v/>
      </c>
      <c r="F31" s="59" t="str">
        <f aca="true">IF(AND(2&lt;=COUNTIF('Checklist Evidencia'!$H$5:$H$30,"⚠ VENCIDO"),E31&lt;&gt;""),TODAY()-E31,"")</f>
        <v/>
      </c>
    </row>
    <row r="32" customFormat="false" ht="27.75" hidden="false" customHeight="true" outlineLevel="0" collapsed="false">
      <c r="A32" s="31" t="str">
        <f aca="false">IF(3&lt;=COUNTIF('Checklist Evidencia'!$H$5:$H$30,"⚠ VENCIDO"),IFERROR(INDEX('Checklist Evidencia'!$C$5:$C$30,MATCH(3,'Checklist Evidencia'!$I$5:$I$30,0)),""),"")</f>
        <v/>
      </c>
      <c r="B32" s="53" t="str">
        <f aca="false">IF(3&lt;=COUNTIF('Checklist Evidencia'!$H$5:$H$30,"⚠ VENCIDO"),IFERROR(INDEX('Checklist Evidencia'!$B$5:$B$30,MATCH(3,'Checklist Evidencia'!$I$5:$I$30,0)),""),"")</f>
        <v/>
      </c>
      <c r="C32" s="53" t="str">
        <f aca="false">IF(3&lt;=COUNTIF('Checklist Evidencia'!$H$5:$H$30,"⚠ VENCIDO"),IFERROR(INDEX('Checklist Evidencia'!$D$5:$D$30,MATCH(3,'Checklist Evidencia'!$I$5:$I$30,0)),""),"")</f>
        <v/>
      </c>
      <c r="D32" s="53" t="str">
        <f aca="false">IF(3&lt;=COUNTIF('Checklist Evidencia'!$H$5:$H$30,"⚠ VENCIDO"),IFERROR(INDEX('Checklist Evidencia'!$E$5:$E$30,MATCH(3,'Checklist Evidencia'!$I$5:$I$30,0)),""),"")</f>
        <v/>
      </c>
      <c r="E32" s="56" t="str">
        <f aca="false">IF(3&lt;=COUNTIF('Checklist Evidencia'!$H$5:$H$30,"⚠ VENCIDO"),IFERROR(INDEX('Checklist Evidencia'!$G$5:$G$30,MATCH(3,'Checklist Evidencia'!$I$5:$I$30,0)),""),"")</f>
        <v/>
      </c>
      <c r="F32" s="57" t="str">
        <f aca="true">IF(AND(3&lt;=COUNTIF('Checklist Evidencia'!$H$5:$H$30,"⚠ VENCIDO"),E32&lt;&gt;""),TODAY()-E32,"")</f>
        <v/>
      </c>
    </row>
    <row r="33" customFormat="false" ht="27.75" hidden="false" customHeight="true" outlineLevel="0" collapsed="false">
      <c r="A33" s="40" t="str">
        <f aca="false">IF(4&lt;=COUNTIF('Checklist Evidencia'!$H$5:$H$30,"⚠ VENCIDO"),IFERROR(INDEX('Checklist Evidencia'!$C$5:$C$30,MATCH(4,'Checklist Evidencia'!$I$5:$I$30,0)),""),"")</f>
        <v/>
      </c>
      <c r="B33" s="55" t="str">
        <f aca="false">IF(4&lt;=COUNTIF('Checklist Evidencia'!$H$5:$H$30,"⚠ VENCIDO"),IFERROR(INDEX('Checklist Evidencia'!$B$5:$B$30,MATCH(4,'Checklist Evidencia'!$I$5:$I$30,0)),""),"")</f>
        <v/>
      </c>
      <c r="C33" s="55" t="str">
        <f aca="false">IF(4&lt;=COUNTIF('Checklist Evidencia'!$H$5:$H$30,"⚠ VENCIDO"),IFERROR(INDEX('Checklist Evidencia'!$D$5:$D$30,MATCH(4,'Checklist Evidencia'!$I$5:$I$30,0)),""),"")</f>
        <v/>
      </c>
      <c r="D33" s="55" t="str">
        <f aca="false">IF(4&lt;=COUNTIF('Checklist Evidencia'!$H$5:$H$30,"⚠ VENCIDO"),IFERROR(INDEX('Checklist Evidencia'!$E$5:$E$30,MATCH(4,'Checklist Evidencia'!$I$5:$I$30,0)),""),"")</f>
        <v/>
      </c>
      <c r="E33" s="58" t="str">
        <f aca="false">IF(4&lt;=COUNTIF('Checklist Evidencia'!$H$5:$H$30,"⚠ VENCIDO"),IFERROR(INDEX('Checklist Evidencia'!$G$5:$G$30,MATCH(4,'Checklist Evidencia'!$I$5:$I$30,0)),""),"")</f>
        <v/>
      </c>
      <c r="F33" s="59" t="str">
        <f aca="true">IF(AND(4&lt;=COUNTIF('Checklist Evidencia'!$H$5:$H$30,"⚠ VENCIDO"),E33&lt;&gt;""),TODAY()-E33,"")</f>
        <v/>
      </c>
    </row>
    <row r="34" customFormat="false" ht="27.75" hidden="false" customHeight="true" outlineLevel="0" collapsed="false">
      <c r="A34" s="31" t="str">
        <f aca="false">IF(5&lt;=COUNTIF('Checklist Evidencia'!$H$5:$H$30,"⚠ VENCIDO"),IFERROR(INDEX('Checklist Evidencia'!$C$5:$C$30,MATCH(5,'Checklist Evidencia'!$I$5:$I$30,0)),""),"")</f>
        <v/>
      </c>
      <c r="B34" s="53" t="str">
        <f aca="false">IF(5&lt;=COUNTIF('Checklist Evidencia'!$H$5:$H$30,"⚠ VENCIDO"),IFERROR(INDEX('Checklist Evidencia'!$B$5:$B$30,MATCH(5,'Checklist Evidencia'!$I$5:$I$30,0)),""),"")</f>
        <v/>
      </c>
      <c r="C34" s="53" t="str">
        <f aca="false">IF(5&lt;=COUNTIF('Checklist Evidencia'!$H$5:$H$30,"⚠ VENCIDO"),IFERROR(INDEX('Checklist Evidencia'!$D$5:$D$30,MATCH(5,'Checklist Evidencia'!$I$5:$I$30,0)),""),"")</f>
        <v/>
      </c>
      <c r="D34" s="53" t="str">
        <f aca="false">IF(5&lt;=COUNTIF('Checklist Evidencia'!$H$5:$H$30,"⚠ VENCIDO"),IFERROR(INDEX('Checklist Evidencia'!$E$5:$E$30,MATCH(5,'Checklist Evidencia'!$I$5:$I$30,0)),""),"")</f>
        <v/>
      </c>
      <c r="E34" s="56" t="str">
        <f aca="false">IF(5&lt;=COUNTIF('Checklist Evidencia'!$H$5:$H$30,"⚠ VENCIDO"),IFERROR(INDEX('Checklist Evidencia'!$G$5:$G$30,MATCH(5,'Checklist Evidencia'!$I$5:$I$30,0)),""),"")</f>
        <v/>
      </c>
      <c r="F34" s="57" t="str">
        <f aca="true">IF(AND(5&lt;=COUNTIF('Checklist Evidencia'!$H$5:$H$30,"⚠ VENCIDO"),E34&lt;&gt;""),TODAY()-E34,"")</f>
        <v/>
      </c>
    </row>
    <row r="35" customFormat="false" ht="27.75" hidden="false" customHeight="true" outlineLevel="0" collapsed="false">
      <c r="A35" s="40" t="str">
        <f aca="false">IF(6&lt;=COUNTIF('Checklist Evidencia'!$H$5:$H$30,"⚠ VENCIDO"),IFERROR(INDEX('Checklist Evidencia'!$C$5:$C$30,MATCH(6,'Checklist Evidencia'!$I$5:$I$30,0)),""),"")</f>
        <v/>
      </c>
      <c r="B35" s="55" t="str">
        <f aca="false">IF(6&lt;=COUNTIF('Checklist Evidencia'!$H$5:$H$30,"⚠ VENCIDO"),IFERROR(INDEX('Checklist Evidencia'!$B$5:$B$30,MATCH(6,'Checklist Evidencia'!$I$5:$I$30,0)),""),"")</f>
        <v/>
      </c>
      <c r="C35" s="55" t="str">
        <f aca="false">IF(6&lt;=COUNTIF('Checklist Evidencia'!$H$5:$H$30,"⚠ VENCIDO"),IFERROR(INDEX('Checklist Evidencia'!$D$5:$D$30,MATCH(6,'Checklist Evidencia'!$I$5:$I$30,0)),""),"")</f>
        <v/>
      </c>
      <c r="D35" s="55" t="str">
        <f aca="false">IF(6&lt;=COUNTIF('Checklist Evidencia'!$H$5:$H$30,"⚠ VENCIDO"),IFERROR(INDEX('Checklist Evidencia'!$E$5:$E$30,MATCH(6,'Checklist Evidencia'!$I$5:$I$30,0)),""),"")</f>
        <v/>
      </c>
      <c r="E35" s="58" t="str">
        <f aca="false">IF(6&lt;=COUNTIF('Checklist Evidencia'!$H$5:$H$30,"⚠ VENCIDO"),IFERROR(INDEX('Checklist Evidencia'!$G$5:$G$30,MATCH(6,'Checklist Evidencia'!$I$5:$I$30,0)),""),"")</f>
        <v/>
      </c>
      <c r="F35" s="59" t="str">
        <f aca="true">IF(AND(6&lt;=COUNTIF('Checklist Evidencia'!$H$5:$H$30,"⚠ VENCIDO"),E35&lt;&gt;""),TODAY()-E35,"")</f>
        <v/>
      </c>
    </row>
    <row r="36" customFormat="false" ht="27.75" hidden="false" customHeight="true" outlineLevel="0" collapsed="false">
      <c r="A36" s="31" t="str">
        <f aca="false">IF(7&lt;=COUNTIF('Checklist Evidencia'!$H$5:$H$30,"⚠ VENCIDO"),IFERROR(INDEX('Checklist Evidencia'!$C$5:$C$30,MATCH(7,'Checklist Evidencia'!$I$5:$I$30,0)),""),"")</f>
        <v/>
      </c>
      <c r="B36" s="53" t="str">
        <f aca="false">IF(7&lt;=COUNTIF('Checklist Evidencia'!$H$5:$H$30,"⚠ VENCIDO"),IFERROR(INDEX('Checklist Evidencia'!$B$5:$B$30,MATCH(7,'Checklist Evidencia'!$I$5:$I$30,0)),""),"")</f>
        <v/>
      </c>
      <c r="C36" s="53" t="str">
        <f aca="false">IF(7&lt;=COUNTIF('Checklist Evidencia'!$H$5:$H$30,"⚠ VENCIDO"),IFERROR(INDEX('Checklist Evidencia'!$D$5:$D$30,MATCH(7,'Checklist Evidencia'!$I$5:$I$30,0)),""),"")</f>
        <v/>
      </c>
      <c r="D36" s="53" t="str">
        <f aca="false">IF(7&lt;=COUNTIF('Checklist Evidencia'!$H$5:$H$30,"⚠ VENCIDO"),IFERROR(INDEX('Checklist Evidencia'!$E$5:$E$30,MATCH(7,'Checklist Evidencia'!$I$5:$I$30,0)),""),"")</f>
        <v/>
      </c>
      <c r="E36" s="56" t="str">
        <f aca="false">IF(7&lt;=COUNTIF('Checklist Evidencia'!$H$5:$H$30,"⚠ VENCIDO"),IFERROR(INDEX('Checklist Evidencia'!$G$5:$G$30,MATCH(7,'Checklist Evidencia'!$I$5:$I$30,0)),""),"")</f>
        <v/>
      </c>
      <c r="F36" s="57" t="str">
        <f aca="true">IF(AND(7&lt;=COUNTIF('Checklist Evidencia'!$H$5:$H$30,"⚠ VENCIDO"),E36&lt;&gt;""),TODAY()-E36,"")</f>
        <v/>
      </c>
    </row>
    <row r="37" customFormat="false" ht="27.75" hidden="false" customHeight="true" outlineLevel="0" collapsed="false">
      <c r="A37" s="40" t="str">
        <f aca="false">IF(8&lt;=COUNTIF('Checklist Evidencia'!$H$5:$H$30,"⚠ VENCIDO"),IFERROR(INDEX('Checklist Evidencia'!$C$5:$C$30,MATCH(8,'Checklist Evidencia'!$I$5:$I$30,0)),""),"")</f>
        <v/>
      </c>
      <c r="B37" s="55" t="str">
        <f aca="false">IF(8&lt;=COUNTIF('Checklist Evidencia'!$H$5:$H$30,"⚠ VENCIDO"),IFERROR(INDEX('Checklist Evidencia'!$B$5:$B$30,MATCH(8,'Checklist Evidencia'!$I$5:$I$30,0)),""),"")</f>
        <v/>
      </c>
      <c r="C37" s="55" t="str">
        <f aca="false">IF(8&lt;=COUNTIF('Checklist Evidencia'!$H$5:$H$30,"⚠ VENCIDO"),IFERROR(INDEX('Checklist Evidencia'!$D$5:$D$30,MATCH(8,'Checklist Evidencia'!$I$5:$I$30,0)),""),"")</f>
        <v/>
      </c>
      <c r="D37" s="55" t="str">
        <f aca="false">IF(8&lt;=COUNTIF('Checklist Evidencia'!$H$5:$H$30,"⚠ VENCIDO"),IFERROR(INDEX('Checklist Evidencia'!$E$5:$E$30,MATCH(8,'Checklist Evidencia'!$I$5:$I$30,0)),""),"")</f>
        <v/>
      </c>
      <c r="E37" s="58" t="str">
        <f aca="false">IF(8&lt;=COUNTIF('Checklist Evidencia'!$H$5:$H$30,"⚠ VENCIDO"),IFERROR(INDEX('Checklist Evidencia'!$G$5:$G$30,MATCH(8,'Checklist Evidencia'!$I$5:$I$30,0)),""),"")</f>
        <v/>
      </c>
      <c r="F37" s="59" t="str">
        <f aca="true">IF(AND(8&lt;=COUNTIF('Checklist Evidencia'!$H$5:$H$30,"⚠ VENCIDO"),E37&lt;&gt;""),TODAY()-E37,"")</f>
        <v/>
      </c>
    </row>
    <row r="38" customFormat="false" ht="27.75" hidden="false" customHeight="true" outlineLevel="0" collapsed="false">
      <c r="A38" s="31" t="str">
        <f aca="false">IF(9&lt;=COUNTIF('Checklist Evidencia'!$H$5:$H$30,"⚠ VENCIDO"),IFERROR(INDEX('Checklist Evidencia'!$C$5:$C$30,MATCH(9,'Checklist Evidencia'!$I$5:$I$30,0)),""),"")</f>
        <v/>
      </c>
      <c r="B38" s="53" t="str">
        <f aca="false">IF(9&lt;=COUNTIF('Checklist Evidencia'!$H$5:$H$30,"⚠ VENCIDO"),IFERROR(INDEX('Checklist Evidencia'!$B$5:$B$30,MATCH(9,'Checklist Evidencia'!$I$5:$I$30,0)),""),"")</f>
        <v/>
      </c>
      <c r="C38" s="53" t="str">
        <f aca="false">IF(9&lt;=COUNTIF('Checklist Evidencia'!$H$5:$H$30,"⚠ VENCIDO"),IFERROR(INDEX('Checklist Evidencia'!$D$5:$D$30,MATCH(9,'Checklist Evidencia'!$I$5:$I$30,0)),""),"")</f>
        <v/>
      </c>
      <c r="D38" s="53" t="str">
        <f aca="false">IF(9&lt;=COUNTIF('Checklist Evidencia'!$H$5:$H$30,"⚠ VENCIDO"),IFERROR(INDEX('Checklist Evidencia'!$E$5:$E$30,MATCH(9,'Checklist Evidencia'!$I$5:$I$30,0)),""),"")</f>
        <v/>
      </c>
      <c r="E38" s="56" t="str">
        <f aca="false">IF(9&lt;=COUNTIF('Checklist Evidencia'!$H$5:$H$30,"⚠ VENCIDO"),IFERROR(INDEX('Checklist Evidencia'!$G$5:$G$30,MATCH(9,'Checklist Evidencia'!$I$5:$I$30,0)),""),"")</f>
        <v/>
      </c>
      <c r="F38" s="57" t="str">
        <f aca="true">IF(AND(9&lt;=COUNTIF('Checklist Evidencia'!$H$5:$H$30,"⚠ VENCIDO"),E38&lt;&gt;""),TODAY()-E38,"")</f>
        <v/>
      </c>
    </row>
    <row r="39" customFormat="false" ht="27.75" hidden="false" customHeight="true" outlineLevel="0" collapsed="false">
      <c r="A39" s="40" t="str">
        <f aca="false">IF(10&lt;=COUNTIF('Checklist Evidencia'!$H$5:$H$30,"⚠ VENCIDO"),IFERROR(INDEX('Checklist Evidencia'!$C$5:$C$30,MATCH(10,'Checklist Evidencia'!$I$5:$I$30,0)),""),"")</f>
        <v/>
      </c>
      <c r="B39" s="55" t="str">
        <f aca="false">IF(10&lt;=COUNTIF('Checklist Evidencia'!$H$5:$H$30,"⚠ VENCIDO"),IFERROR(INDEX('Checklist Evidencia'!$B$5:$B$30,MATCH(10,'Checklist Evidencia'!$I$5:$I$30,0)),""),"")</f>
        <v/>
      </c>
      <c r="C39" s="55" t="str">
        <f aca="false">IF(10&lt;=COUNTIF('Checklist Evidencia'!$H$5:$H$30,"⚠ VENCIDO"),IFERROR(INDEX('Checklist Evidencia'!$D$5:$D$30,MATCH(10,'Checklist Evidencia'!$I$5:$I$30,0)),""),"")</f>
        <v/>
      </c>
      <c r="D39" s="55" t="str">
        <f aca="false">IF(10&lt;=COUNTIF('Checklist Evidencia'!$H$5:$H$30,"⚠ VENCIDO"),IFERROR(INDEX('Checklist Evidencia'!$E$5:$E$30,MATCH(10,'Checklist Evidencia'!$I$5:$I$30,0)),""),"")</f>
        <v/>
      </c>
      <c r="E39" s="58" t="str">
        <f aca="false">IF(10&lt;=COUNTIF('Checklist Evidencia'!$H$5:$H$30,"⚠ VENCIDO"),IFERROR(INDEX('Checklist Evidencia'!$G$5:$G$30,MATCH(10,'Checklist Evidencia'!$I$5:$I$30,0)),""),"")</f>
        <v/>
      </c>
      <c r="F39" s="59" t="str">
        <f aca="true">IF(AND(10&lt;=COUNTIF('Checklist Evidencia'!$H$5:$H$30,"⚠ VENCIDO"),E39&lt;&gt;""),TODAY()-E39,"")</f>
        <v/>
      </c>
    </row>
    <row r="40" customFormat="false" ht="27.75" hidden="false" customHeight="true" outlineLevel="0" collapsed="false">
      <c r="A40" s="31" t="str">
        <f aca="false">IF(11&lt;=COUNTIF('Checklist Evidencia'!$H$5:$H$30,"⚠ VENCIDO"),IFERROR(INDEX('Checklist Evidencia'!$C$5:$C$30,MATCH(11,'Checklist Evidencia'!$I$5:$I$30,0)),""),"")</f>
        <v/>
      </c>
      <c r="B40" s="53" t="str">
        <f aca="false">IF(11&lt;=COUNTIF('Checklist Evidencia'!$H$5:$H$30,"⚠ VENCIDO"),IFERROR(INDEX('Checklist Evidencia'!$B$5:$B$30,MATCH(11,'Checklist Evidencia'!$I$5:$I$30,0)),""),"")</f>
        <v/>
      </c>
      <c r="C40" s="53" t="str">
        <f aca="false">IF(11&lt;=COUNTIF('Checklist Evidencia'!$H$5:$H$30,"⚠ VENCIDO"),IFERROR(INDEX('Checklist Evidencia'!$D$5:$D$30,MATCH(11,'Checklist Evidencia'!$I$5:$I$30,0)),""),"")</f>
        <v/>
      </c>
      <c r="D40" s="53" t="str">
        <f aca="false">IF(11&lt;=COUNTIF('Checklist Evidencia'!$H$5:$H$30,"⚠ VENCIDO"),IFERROR(INDEX('Checklist Evidencia'!$E$5:$E$30,MATCH(11,'Checklist Evidencia'!$I$5:$I$30,0)),""),"")</f>
        <v/>
      </c>
      <c r="E40" s="56" t="str">
        <f aca="false">IF(11&lt;=COUNTIF('Checklist Evidencia'!$H$5:$H$30,"⚠ VENCIDO"),IFERROR(INDEX('Checklist Evidencia'!$G$5:$G$30,MATCH(11,'Checklist Evidencia'!$I$5:$I$30,0)),""),"")</f>
        <v/>
      </c>
      <c r="F40" s="57" t="str">
        <f aca="true">IF(AND(11&lt;=COUNTIF('Checklist Evidencia'!$H$5:$H$30,"⚠ VENCIDO"),E40&lt;&gt;""),TODAY()-E40,"")</f>
        <v/>
      </c>
    </row>
    <row r="41" customFormat="false" ht="27.75" hidden="false" customHeight="true" outlineLevel="0" collapsed="false">
      <c r="A41" s="40" t="str">
        <f aca="false">IF(12&lt;=COUNTIF('Checklist Evidencia'!$H$5:$H$30,"⚠ VENCIDO"),IFERROR(INDEX('Checklist Evidencia'!$C$5:$C$30,MATCH(12,'Checklist Evidencia'!$I$5:$I$30,0)),""),"")</f>
        <v/>
      </c>
      <c r="B41" s="55" t="str">
        <f aca="false">IF(12&lt;=COUNTIF('Checklist Evidencia'!$H$5:$H$30,"⚠ VENCIDO"),IFERROR(INDEX('Checklist Evidencia'!$B$5:$B$30,MATCH(12,'Checklist Evidencia'!$I$5:$I$30,0)),""),"")</f>
        <v/>
      </c>
      <c r="C41" s="55" t="str">
        <f aca="false">IF(12&lt;=COUNTIF('Checklist Evidencia'!$H$5:$H$30,"⚠ VENCIDO"),IFERROR(INDEX('Checklist Evidencia'!$D$5:$D$30,MATCH(12,'Checklist Evidencia'!$I$5:$I$30,0)),""),"")</f>
        <v/>
      </c>
      <c r="D41" s="55" t="str">
        <f aca="false">IF(12&lt;=COUNTIF('Checklist Evidencia'!$H$5:$H$30,"⚠ VENCIDO"),IFERROR(INDEX('Checklist Evidencia'!$E$5:$E$30,MATCH(12,'Checklist Evidencia'!$I$5:$I$30,0)),""),"")</f>
        <v/>
      </c>
      <c r="E41" s="58" t="str">
        <f aca="false">IF(12&lt;=COUNTIF('Checklist Evidencia'!$H$5:$H$30,"⚠ VENCIDO"),IFERROR(INDEX('Checklist Evidencia'!$G$5:$G$30,MATCH(12,'Checklist Evidencia'!$I$5:$I$30,0)),""),"")</f>
        <v/>
      </c>
      <c r="F41" s="59" t="str">
        <f aca="true">IF(AND(12&lt;=COUNTIF('Checklist Evidencia'!$H$5:$H$30,"⚠ VENCIDO"),E41&lt;&gt;""),TODAY()-E41,"")</f>
        <v/>
      </c>
    </row>
    <row r="42" customFormat="false" ht="27.75" hidden="false" customHeight="true" outlineLevel="0" collapsed="false">
      <c r="A42" s="31" t="str">
        <f aca="false">IF(13&lt;=COUNTIF('Checklist Evidencia'!$H$5:$H$30,"⚠ VENCIDO"),IFERROR(INDEX('Checklist Evidencia'!$C$5:$C$30,MATCH(13,'Checklist Evidencia'!$I$5:$I$30,0)),""),"")</f>
        <v/>
      </c>
      <c r="B42" s="53" t="str">
        <f aca="false">IF(13&lt;=COUNTIF('Checklist Evidencia'!$H$5:$H$30,"⚠ VENCIDO"),IFERROR(INDEX('Checklist Evidencia'!$B$5:$B$30,MATCH(13,'Checklist Evidencia'!$I$5:$I$30,0)),""),"")</f>
        <v/>
      </c>
      <c r="C42" s="53" t="str">
        <f aca="false">IF(13&lt;=COUNTIF('Checklist Evidencia'!$H$5:$H$30,"⚠ VENCIDO"),IFERROR(INDEX('Checklist Evidencia'!$D$5:$D$30,MATCH(13,'Checklist Evidencia'!$I$5:$I$30,0)),""),"")</f>
        <v/>
      </c>
      <c r="D42" s="53" t="str">
        <f aca="false">IF(13&lt;=COUNTIF('Checklist Evidencia'!$H$5:$H$30,"⚠ VENCIDO"),IFERROR(INDEX('Checklist Evidencia'!$E$5:$E$30,MATCH(13,'Checklist Evidencia'!$I$5:$I$30,0)),""),"")</f>
        <v/>
      </c>
      <c r="E42" s="56" t="str">
        <f aca="false">IF(13&lt;=COUNTIF('Checklist Evidencia'!$H$5:$H$30,"⚠ VENCIDO"),IFERROR(INDEX('Checklist Evidencia'!$G$5:$G$30,MATCH(13,'Checklist Evidencia'!$I$5:$I$30,0)),""),"")</f>
        <v/>
      </c>
      <c r="F42" s="57" t="str">
        <f aca="true">IF(AND(13&lt;=COUNTIF('Checklist Evidencia'!$H$5:$H$30,"⚠ VENCIDO"),E42&lt;&gt;""),TODAY()-E42,"")</f>
        <v/>
      </c>
    </row>
    <row r="43" customFormat="false" ht="27.75" hidden="false" customHeight="true" outlineLevel="0" collapsed="false">
      <c r="A43" s="40" t="str">
        <f aca="false">IF(14&lt;=COUNTIF('Checklist Evidencia'!$H$5:$H$30,"⚠ VENCIDO"),IFERROR(INDEX('Checklist Evidencia'!$C$5:$C$30,MATCH(14,'Checklist Evidencia'!$I$5:$I$30,0)),""),"")</f>
        <v/>
      </c>
      <c r="B43" s="55" t="str">
        <f aca="false">IF(14&lt;=COUNTIF('Checklist Evidencia'!$H$5:$H$30,"⚠ VENCIDO"),IFERROR(INDEX('Checklist Evidencia'!$B$5:$B$30,MATCH(14,'Checklist Evidencia'!$I$5:$I$30,0)),""),"")</f>
        <v/>
      </c>
      <c r="C43" s="55" t="str">
        <f aca="false">IF(14&lt;=COUNTIF('Checklist Evidencia'!$H$5:$H$30,"⚠ VENCIDO"),IFERROR(INDEX('Checklist Evidencia'!$D$5:$D$30,MATCH(14,'Checklist Evidencia'!$I$5:$I$30,0)),""),"")</f>
        <v/>
      </c>
      <c r="D43" s="55" t="str">
        <f aca="false">IF(14&lt;=COUNTIF('Checklist Evidencia'!$H$5:$H$30,"⚠ VENCIDO"),IFERROR(INDEX('Checklist Evidencia'!$E$5:$E$30,MATCH(14,'Checklist Evidencia'!$I$5:$I$30,0)),""),"")</f>
        <v/>
      </c>
      <c r="E43" s="58" t="str">
        <f aca="false">IF(14&lt;=COUNTIF('Checklist Evidencia'!$H$5:$H$30,"⚠ VENCIDO"),IFERROR(INDEX('Checklist Evidencia'!$G$5:$G$30,MATCH(14,'Checklist Evidencia'!$I$5:$I$30,0)),""),"")</f>
        <v/>
      </c>
      <c r="F43" s="59" t="str">
        <f aca="true">IF(AND(14&lt;=COUNTIF('Checklist Evidencia'!$H$5:$H$30,"⚠ VENCIDO"),E43&lt;&gt;""),TODAY()-E43,"")</f>
        <v/>
      </c>
    </row>
    <row r="44" customFormat="false" ht="27.75" hidden="false" customHeight="true" outlineLevel="0" collapsed="false">
      <c r="A44" s="31" t="str">
        <f aca="false">IF(15&lt;=COUNTIF('Checklist Evidencia'!$H$5:$H$30,"⚠ VENCIDO"),IFERROR(INDEX('Checklist Evidencia'!$C$5:$C$30,MATCH(15,'Checklist Evidencia'!$I$5:$I$30,0)),""),"")</f>
        <v/>
      </c>
      <c r="B44" s="53" t="str">
        <f aca="false">IF(15&lt;=COUNTIF('Checklist Evidencia'!$H$5:$H$30,"⚠ VENCIDO"),IFERROR(INDEX('Checklist Evidencia'!$B$5:$B$30,MATCH(15,'Checklist Evidencia'!$I$5:$I$30,0)),""),"")</f>
        <v/>
      </c>
      <c r="C44" s="53" t="str">
        <f aca="false">IF(15&lt;=COUNTIF('Checklist Evidencia'!$H$5:$H$30,"⚠ VENCIDO"),IFERROR(INDEX('Checklist Evidencia'!$D$5:$D$30,MATCH(15,'Checklist Evidencia'!$I$5:$I$30,0)),""),"")</f>
        <v/>
      </c>
      <c r="D44" s="53" t="str">
        <f aca="false">IF(15&lt;=COUNTIF('Checklist Evidencia'!$H$5:$H$30,"⚠ VENCIDO"),IFERROR(INDEX('Checklist Evidencia'!$E$5:$E$30,MATCH(15,'Checklist Evidencia'!$I$5:$I$30,0)),""),"")</f>
        <v/>
      </c>
      <c r="E44" s="56" t="str">
        <f aca="false">IF(15&lt;=COUNTIF('Checklist Evidencia'!$H$5:$H$30,"⚠ VENCIDO"),IFERROR(INDEX('Checklist Evidencia'!$G$5:$G$30,MATCH(15,'Checklist Evidencia'!$I$5:$I$30,0)),""),"")</f>
        <v/>
      </c>
      <c r="F44" s="57" t="str">
        <f aca="true">IF(AND(15&lt;=COUNTIF('Checklist Evidencia'!$H$5:$H$30,"⚠ VENCIDO"),E44&lt;&gt;""),TODAY()-E44,"")</f>
        <v/>
      </c>
    </row>
    <row r="45" customFormat="false" ht="27.75" hidden="false" customHeight="true" outlineLevel="0" collapsed="false">
      <c r="A45" s="40" t="str">
        <f aca="false">IF(16&lt;=COUNTIF('Checklist Evidencia'!$H$5:$H$30,"⚠ VENCIDO"),IFERROR(INDEX('Checklist Evidencia'!$C$5:$C$30,MATCH(16,'Checklist Evidencia'!$I$5:$I$30,0)),""),"")</f>
        <v/>
      </c>
      <c r="B45" s="55" t="str">
        <f aca="false">IF(16&lt;=COUNTIF('Checklist Evidencia'!$H$5:$H$30,"⚠ VENCIDO"),IFERROR(INDEX('Checklist Evidencia'!$B$5:$B$30,MATCH(16,'Checklist Evidencia'!$I$5:$I$30,0)),""),"")</f>
        <v/>
      </c>
      <c r="C45" s="55" t="str">
        <f aca="false">IF(16&lt;=COUNTIF('Checklist Evidencia'!$H$5:$H$30,"⚠ VENCIDO"),IFERROR(INDEX('Checklist Evidencia'!$D$5:$D$30,MATCH(16,'Checklist Evidencia'!$I$5:$I$30,0)),""),"")</f>
        <v/>
      </c>
      <c r="D45" s="55" t="str">
        <f aca="false">IF(16&lt;=COUNTIF('Checklist Evidencia'!$H$5:$H$30,"⚠ VENCIDO"),IFERROR(INDEX('Checklist Evidencia'!$E$5:$E$30,MATCH(16,'Checklist Evidencia'!$I$5:$I$30,0)),""),"")</f>
        <v/>
      </c>
      <c r="E45" s="58" t="str">
        <f aca="false">IF(16&lt;=COUNTIF('Checklist Evidencia'!$H$5:$H$30,"⚠ VENCIDO"),IFERROR(INDEX('Checklist Evidencia'!$G$5:$G$30,MATCH(16,'Checklist Evidencia'!$I$5:$I$30,0)),""),"")</f>
        <v/>
      </c>
      <c r="F45" s="59" t="str">
        <f aca="true">IF(AND(16&lt;=COUNTIF('Checklist Evidencia'!$H$5:$H$30,"⚠ VENCIDO"),E45&lt;&gt;""),TODAY()-E45,"")</f>
        <v/>
      </c>
    </row>
    <row r="46" customFormat="false" ht="27.75" hidden="false" customHeight="true" outlineLevel="0" collapsed="false">
      <c r="A46" s="31" t="str">
        <f aca="false">IF(17&lt;=COUNTIF('Checklist Evidencia'!$H$5:$H$30,"⚠ VENCIDO"),IFERROR(INDEX('Checklist Evidencia'!$C$5:$C$30,MATCH(17,'Checklist Evidencia'!$I$5:$I$30,0)),""),"")</f>
        <v/>
      </c>
      <c r="B46" s="53" t="str">
        <f aca="false">IF(17&lt;=COUNTIF('Checklist Evidencia'!$H$5:$H$30,"⚠ VENCIDO"),IFERROR(INDEX('Checklist Evidencia'!$B$5:$B$30,MATCH(17,'Checklist Evidencia'!$I$5:$I$30,0)),""),"")</f>
        <v/>
      </c>
      <c r="C46" s="53" t="str">
        <f aca="false">IF(17&lt;=COUNTIF('Checklist Evidencia'!$H$5:$H$30,"⚠ VENCIDO"),IFERROR(INDEX('Checklist Evidencia'!$D$5:$D$30,MATCH(17,'Checklist Evidencia'!$I$5:$I$30,0)),""),"")</f>
        <v/>
      </c>
      <c r="D46" s="53" t="str">
        <f aca="false">IF(17&lt;=COUNTIF('Checklist Evidencia'!$H$5:$H$30,"⚠ VENCIDO"),IFERROR(INDEX('Checklist Evidencia'!$E$5:$E$30,MATCH(17,'Checklist Evidencia'!$I$5:$I$30,0)),""),"")</f>
        <v/>
      </c>
      <c r="E46" s="56" t="str">
        <f aca="false">IF(17&lt;=COUNTIF('Checklist Evidencia'!$H$5:$H$30,"⚠ VENCIDO"),IFERROR(INDEX('Checklist Evidencia'!$G$5:$G$30,MATCH(17,'Checklist Evidencia'!$I$5:$I$30,0)),""),"")</f>
        <v/>
      </c>
      <c r="F46" s="57" t="str">
        <f aca="true">IF(AND(17&lt;=COUNTIF('Checklist Evidencia'!$H$5:$H$30,"⚠ VENCIDO"),E46&lt;&gt;""),TODAY()-E46,"")</f>
        <v/>
      </c>
    </row>
    <row r="47" customFormat="false" ht="27.75" hidden="false" customHeight="true" outlineLevel="0" collapsed="false">
      <c r="A47" s="40" t="str">
        <f aca="false">IF(18&lt;=COUNTIF('Checklist Evidencia'!$H$5:$H$30,"⚠ VENCIDO"),IFERROR(INDEX('Checklist Evidencia'!$C$5:$C$30,MATCH(18,'Checklist Evidencia'!$I$5:$I$30,0)),""),"")</f>
        <v/>
      </c>
      <c r="B47" s="55" t="str">
        <f aca="false">IF(18&lt;=COUNTIF('Checklist Evidencia'!$H$5:$H$30,"⚠ VENCIDO"),IFERROR(INDEX('Checklist Evidencia'!$B$5:$B$30,MATCH(18,'Checklist Evidencia'!$I$5:$I$30,0)),""),"")</f>
        <v/>
      </c>
      <c r="C47" s="55" t="str">
        <f aca="false">IF(18&lt;=COUNTIF('Checklist Evidencia'!$H$5:$H$30,"⚠ VENCIDO"),IFERROR(INDEX('Checklist Evidencia'!$D$5:$D$30,MATCH(18,'Checklist Evidencia'!$I$5:$I$30,0)),""),"")</f>
        <v/>
      </c>
      <c r="D47" s="55" t="str">
        <f aca="false">IF(18&lt;=COUNTIF('Checklist Evidencia'!$H$5:$H$30,"⚠ VENCIDO"),IFERROR(INDEX('Checklist Evidencia'!$E$5:$E$30,MATCH(18,'Checklist Evidencia'!$I$5:$I$30,0)),""),"")</f>
        <v/>
      </c>
      <c r="E47" s="58" t="str">
        <f aca="false">IF(18&lt;=COUNTIF('Checklist Evidencia'!$H$5:$H$30,"⚠ VENCIDO"),IFERROR(INDEX('Checklist Evidencia'!$G$5:$G$30,MATCH(18,'Checklist Evidencia'!$I$5:$I$30,0)),""),"")</f>
        <v/>
      </c>
      <c r="F47" s="59" t="str">
        <f aca="true">IF(AND(18&lt;=COUNTIF('Checklist Evidencia'!$H$5:$H$30,"⚠ VENCIDO"),E47&lt;&gt;""),TODAY()-E47,"")</f>
        <v/>
      </c>
    </row>
    <row r="48" customFormat="false" ht="27.75" hidden="false" customHeight="true" outlineLevel="0" collapsed="false">
      <c r="A48" s="31" t="str">
        <f aca="false">IF(19&lt;=COUNTIF('Checklist Evidencia'!$H$5:$H$30,"⚠ VENCIDO"),IFERROR(INDEX('Checklist Evidencia'!$C$5:$C$30,MATCH(19,'Checklist Evidencia'!$I$5:$I$30,0)),""),"")</f>
        <v/>
      </c>
      <c r="B48" s="53" t="str">
        <f aca="false">IF(19&lt;=COUNTIF('Checklist Evidencia'!$H$5:$H$30,"⚠ VENCIDO"),IFERROR(INDEX('Checklist Evidencia'!$B$5:$B$30,MATCH(19,'Checklist Evidencia'!$I$5:$I$30,0)),""),"")</f>
        <v/>
      </c>
      <c r="C48" s="53" t="str">
        <f aca="false">IF(19&lt;=COUNTIF('Checklist Evidencia'!$H$5:$H$30,"⚠ VENCIDO"),IFERROR(INDEX('Checklist Evidencia'!$D$5:$D$30,MATCH(19,'Checklist Evidencia'!$I$5:$I$30,0)),""),"")</f>
        <v/>
      </c>
      <c r="D48" s="53" t="str">
        <f aca="false">IF(19&lt;=COUNTIF('Checklist Evidencia'!$H$5:$H$30,"⚠ VENCIDO"),IFERROR(INDEX('Checklist Evidencia'!$E$5:$E$30,MATCH(19,'Checklist Evidencia'!$I$5:$I$30,0)),""),"")</f>
        <v/>
      </c>
      <c r="E48" s="56" t="str">
        <f aca="false">IF(19&lt;=COUNTIF('Checklist Evidencia'!$H$5:$H$30,"⚠ VENCIDO"),IFERROR(INDEX('Checklist Evidencia'!$G$5:$G$30,MATCH(19,'Checklist Evidencia'!$I$5:$I$30,0)),""),"")</f>
        <v/>
      </c>
      <c r="F48" s="57" t="str">
        <f aca="true">IF(AND(19&lt;=COUNTIF('Checklist Evidencia'!$H$5:$H$30,"⚠ VENCIDO"),E48&lt;&gt;""),TODAY()-E48,"")</f>
        <v/>
      </c>
    </row>
    <row r="49" customFormat="false" ht="27.75" hidden="false" customHeight="true" outlineLevel="0" collapsed="false">
      <c r="A49" s="40" t="str">
        <f aca="false">IF(20&lt;=COUNTIF('Checklist Evidencia'!$H$5:$H$30,"⚠ VENCIDO"),IFERROR(INDEX('Checklist Evidencia'!$C$5:$C$30,MATCH(20,'Checklist Evidencia'!$I$5:$I$30,0)),""),"")</f>
        <v/>
      </c>
      <c r="B49" s="55" t="str">
        <f aca="false">IF(20&lt;=COUNTIF('Checklist Evidencia'!$H$5:$H$30,"⚠ VENCIDO"),IFERROR(INDEX('Checklist Evidencia'!$B$5:$B$30,MATCH(20,'Checklist Evidencia'!$I$5:$I$30,0)),""),"")</f>
        <v/>
      </c>
      <c r="C49" s="55" t="str">
        <f aca="false">IF(20&lt;=COUNTIF('Checklist Evidencia'!$H$5:$H$30,"⚠ VENCIDO"),IFERROR(INDEX('Checklist Evidencia'!$D$5:$D$30,MATCH(20,'Checklist Evidencia'!$I$5:$I$30,0)),""),"")</f>
        <v/>
      </c>
      <c r="D49" s="55" t="str">
        <f aca="false">IF(20&lt;=COUNTIF('Checklist Evidencia'!$H$5:$H$30,"⚠ VENCIDO"),IFERROR(INDEX('Checklist Evidencia'!$E$5:$E$30,MATCH(20,'Checklist Evidencia'!$I$5:$I$30,0)),""),"")</f>
        <v/>
      </c>
      <c r="E49" s="58" t="str">
        <f aca="false">IF(20&lt;=COUNTIF('Checklist Evidencia'!$H$5:$H$30,"⚠ VENCIDO"),IFERROR(INDEX('Checklist Evidencia'!$G$5:$G$30,MATCH(20,'Checklist Evidencia'!$I$5:$I$30,0)),""),"")</f>
        <v/>
      </c>
      <c r="F49" s="59" t="str">
        <f aca="true">IF(AND(20&lt;=COUNTIF('Checklist Evidencia'!$H$5:$H$30,"⚠ VENCIDO"),E49&lt;&gt;""),TODAY()-E49,"")</f>
        <v/>
      </c>
    </row>
    <row r="50" customFormat="false" ht="27.75" hidden="false" customHeight="true" outlineLevel="0" collapsed="false">
      <c r="A50" s="31" t="str">
        <f aca="false">IF(21&lt;=COUNTIF('Checklist Evidencia'!$H$5:$H$30,"⚠ VENCIDO"),IFERROR(INDEX('Checklist Evidencia'!$C$5:$C$30,MATCH(21,'Checklist Evidencia'!$I$5:$I$30,0)),""),"")</f>
        <v/>
      </c>
      <c r="B50" s="53" t="str">
        <f aca="false">IF(21&lt;=COUNTIF('Checklist Evidencia'!$H$5:$H$30,"⚠ VENCIDO"),IFERROR(INDEX('Checklist Evidencia'!$B$5:$B$30,MATCH(21,'Checklist Evidencia'!$I$5:$I$30,0)),""),"")</f>
        <v/>
      </c>
      <c r="C50" s="53" t="str">
        <f aca="false">IF(21&lt;=COUNTIF('Checklist Evidencia'!$H$5:$H$30,"⚠ VENCIDO"),IFERROR(INDEX('Checklist Evidencia'!$D$5:$D$30,MATCH(21,'Checklist Evidencia'!$I$5:$I$30,0)),""),"")</f>
        <v/>
      </c>
      <c r="D50" s="53" t="str">
        <f aca="false">IF(21&lt;=COUNTIF('Checklist Evidencia'!$H$5:$H$30,"⚠ VENCIDO"),IFERROR(INDEX('Checklist Evidencia'!$E$5:$E$30,MATCH(21,'Checklist Evidencia'!$I$5:$I$30,0)),""),"")</f>
        <v/>
      </c>
      <c r="E50" s="56" t="str">
        <f aca="false">IF(21&lt;=COUNTIF('Checklist Evidencia'!$H$5:$H$30,"⚠ VENCIDO"),IFERROR(INDEX('Checklist Evidencia'!$G$5:$G$30,MATCH(21,'Checklist Evidencia'!$I$5:$I$30,0)),""),"")</f>
        <v/>
      </c>
      <c r="F50" s="57" t="str">
        <f aca="true">IF(AND(21&lt;=COUNTIF('Checklist Evidencia'!$H$5:$H$30,"⚠ VENCIDO"),E50&lt;&gt;""),TODAY()-E50,"")</f>
        <v/>
      </c>
    </row>
    <row r="51" customFormat="false" ht="27.75" hidden="false" customHeight="true" outlineLevel="0" collapsed="false">
      <c r="A51" s="40" t="str">
        <f aca="false">IF(22&lt;=COUNTIF('Checklist Evidencia'!$H$5:$H$30,"⚠ VENCIDO"),IFERROR(INDEX('Checklist Evidencia'!$C$5:$C$30,MATCH(22,'Checklist Evidencia'!$I$5:$I$30,0)),""),"")</f>
        <v/>
      </c>
      <c r="B51" s="55" t="str">
        <f aca="false">IF(22&lt;=COUNTIF('Checklist Evidencia'!$H$5:$H$30,"⚠ VENCIDO"),IFERROR(INDEX('Checklist Evidencia'!$B$5:$B$30,MATCH(22,'Checklist Evidencia'!$I$5:$I$30,0)),""),"")</f>
        <v/>
      </c>
      <c r="C51" s="55" t="str">
        <f aca="false">IF(22&lt;=COUNTIF('Checklist Evidencia'!$H$5:$H$30,"⚠ VENCIDO"),IFERROR(INDEX('Checklist Evidencia'!$D$5:$D$30,MATCH(22,'Checklist Evidencia'!$I$5:$I$30,0)),""),"")</f>
        <v/>
      </c>
      <c r="D51" s="55" t="str">
        <f aca="false">IF(22&lt;=COUNTIF('Checklist Evidencia'!$H$5:$H$30,"⚠ VENCIDO"),IFERROR(INDEX('Checklist Evidencia'!$E$5:$E$30,MATCH(22,'Checklist Evidencia'!$I$5:$I$30,0)),""),"")</f>
        <v/>
      </c>
      <c r="E51" s="58" t="str">
        <f aca="false">IF(22&lt;=COUNTIF('Checklist Evidencia'!$H$5:$H$30,"⚠ VENCIDO"),IFERROR(INDEX('Checklist Evidencia'!$G$5:$G$30,MATCH(22,'Checklist Evidencia'!$I$5:$I$30,0)),""),"")</f>
        <v/>
      </c>
      <c r="F51" s="59" t="str">
        <f aca="true">IF(AND(22&lt;=COUNTIF('Checklist Evidencia'!$H$5:$H$30,"⚠ VENCIDO"),E51&lt;&gt;""),TODAY()-E51,"")</f>
        <v/>
      </c>
    </row>
    <row r="52" customFormat="false" ht="27.75" hidden="false" customHeight="true" outlineLevel="0" collapsed="false">
      <c r="A52" s="31" t="str">
        <f aca="false">IF(23&lt;=COUNTIF('Checklist Evidencia'!$H$5:$H$30,"⚠ VENCIDO"),IFERROR(INDEX('Checklist Evidencia'!$C$5:$C$30,MATCH(23,'Checklist Evidencia'!$I$5:$I$30,0)),""),"")</f>
        <v/>
      </c>
      <c r="B52" s="53" t="str">
        <f aca="false">IF(23&lt;=COUNTIF('Checklist Evidencia'!$H$5:$H$30,"⚠ VENCIDO"),IFERROR(INDEX('Checklist Evidencia'!$B$5:$B$30,MATCH(23,'Checklist Evidencia'!$I$5:$I$30,0)),""),"")</f>
        <v/>
      </c>
      <c r="C52" s="53" t="str">
        <f aca="false">IF(23&lt;=COUNTIF('Checklist Evidencia'!$H$5:$H$30,"⚠ VENCIDO"),IFERROR(INDEX('Checklist Evidencia'!$D$5:$D$30,MATCH(23,'Checklist Evidencia'!$I$5:$I$30,0)),""),"")</f>
        <v/>
      </c>
      <c r="D52" s="53" t="str">
        <f aca="false">IF(23&lt;=COUNTIF('Checklist Evidencia'!$H$5:$H$30,"⚠ VENCIDO"),IFERROR(INDEX('Checklist Evidencia'!$E$5:$E$30,MATCH(23,'Checklist Evidencia'!$I$5:$I$30,0)),""),"")</f>
        <v/>
      </c>
      <c r="E52" s="56" t="str">
        <f aca="false">IF(23&lt;=COUNTIF('Checklist Evidencia'!$H$5:$H$30,"⚠ VENCIDO"),IFERROR(INDEX('Checklist Evidencia'!$G$5:$G$30,MATCH(23,'Checklist Evidencia'!$I$5:$I$30,0)),""),"")</f>
        <v/>
      </c>
      <c r="F52" s="57" t="str">
        <f aca="true">IF(AND(23&lt;=COUNTIF('Checklist Evidencia'!$H$5:$H$30,"⚠ VENCIDO"),E52&lt;&gt;""),TODAY()-E52,"")</f>
        <v/>
      </c>
    </row>
    <row r="53" customFormat="false" ht="27.75" hidden="false" customHeight="true" outlineLevel="0" collapsed="false">
      <c r="A53" s="40" t="str">
        <f aca="false">IF(24&lt;=COUNTIF('Checklist Evidencia'!$H$5:$H$30,"⚠ VENCIDO"),IFERROR(INDEX('Checklist Evidencia'!$C$5:$C$30,MATCH(24,'Checklist Evidencia'!$I$5:$I$30,0)),""),"")</f>
        <v/>
      </c>
      <c r="B53" s="55" t="str">
        <f aca="false">IF(24&lt;=COUNTIF('Checklist Evidencia'!$H$5:$H$30,"⚠ VENCIDO"),IFERROR(INDEX('Checklist Evidencia'!$B$5:$B$30,MATCH(24,'Checklist Evidencia'!$I$5:$I$30,0)),""),"")</f>
        <v/>
      </c>
      <c r="C53" s="55" t="str">
        <f aca="false">IF(24&lt;=COUNTIF('Checklist Evidencia'!$H$5:$H$30,"⚠ VENCIDO"),IFERROR(INDEX('Checklist Evidencia'!$D$5:$D$30,MATCH(24,'Checklist Evidencia'!$I$5:$I$30,0)),""),"")</f>
        <v/>
      </c>
      <c r="D53" s="55" t="str">
        <f aca="false">IF(24&lt;=COUNTIF('Checklist Evidencia'!$H$5:$H$30,"⚠ VENCIDO"),IFERROR(INDEX('Checklist Evidencia'!$E$5:$E$30,MATCH(24,'Checklist Evidencia'!$I$5:$I$30,0)),""),"")</f>
        <v/>
      </c>
      <c r="E53" s="58" t="str">
        <f aca="false">IF(24&lt;=COUNTIF('Checklist Evidencia'!$H$5:$H$30,"⚠ VENCIDO"),IFERROR(INDEX('Checklist Evidencia'!$G$5:$G$30,MATCH(24,'Checklist Evidencia'!$I$5:$I$30,0)),""),"")</f>
        <v/>
      </c>
      <c r="F53" s="59" t="str">
        <f aca="true">IF(AND(24&lt;=COUNTIF('Checklist Evidencia'!$H$5:$H$30,"⚠ VENCIDO"),E53&lt;&gt;""),TODAY()-E53,"")</f>
        <v/>
      </c>
    </row>
    <row r="54" customFormat="false" ht="27.75" hidden="false" customHeight="true" outlineLevel="0" collapsed="false">
      <c r="A54" s="31" t="str">
        <f aca="false">IF(25&lt;=COUNTIF('Checklist Evidencia'!$H$5:$H$30,"⚠ VENCIDO"),IFERROR(INDEX('Checklist Evidencia'!$C$5:$C$30,MATCH(25,'Checklist Evidencia'!$I$5:$I$30,0)),""),"")</f>
        <v/>
      </c>
      <c r="B54" s="53" t="str">
        <f aca="false">IF(25&lt;=COUNTIF('Checklist Evidencia'!$H$5:$H$30,"⚠ VENCIDO"),IFERROR(INDEX('Checklist Evidencia'!$B$5:$B$30,MATCH(25,'Checklist Evidencia'!$I$5:$I$30,0)),""),"")</f>
        <v/>
      </c>
      <c r="C54" s="53" t="str">
        <f aca="false">IF(25&lt;=COUNTIF('Checklist Evidencia'!$H$5:$H$30,"⚠ VENCIDO"),IFERROR(INDEX('Checklist Evidencia'!$D$5:$D$30,MATCH(25,'Checklist Evidencia'!$I$5:$I$30,0)),""),"")</f>
        <v/>
      </c>
      <c r="D54" s="53" t="str">
        <f aca="false">IF(25&lt;=COUNTIF('Checklist Evidencia'!$H$5:$H$30,"⚠ VENCIDO"),IFERROR(INDEX('Checklist Evidencia'!$E$5:$E$30,MATCH(25,'Checklist Evidencia'!$I$5:$I$30,0)),""),"")</f>
        <v/>
      </c>
      <c r="E54" s="56" t="str">
        <f aca="false">IF(25&lt;=COUNTIF('Checklist Evidencia'!$H$5:$H$30,"⚠ VENCIDO"),IFERROR(INDEX('Checklist Evidencia'!$G$5:$G$30,MATCH(25,'Checklist Evidencia'!$I$5:$I$30,0)),""),"")</f>
        <v/>
      </c>
      <c r="F54" s="57" t="str">
        <f aca="true">IF(AND(25&lt;=COUNTIF('Checklist Evidencia'!$H$5:$H$30,"⚠ VENCIDO"),E54&lt;&gt;""),TODAY()-E54,"")</f>
        <v/>
      </c>
    </row>
    <row r="55" customFormat="false" ht="27.75" hidden="false" customHeight="true" outlineLevel="0" collapsed="false">
      <c r="A55" s="40" t="str">
        <f aca="false">IF(26&lt;=COUNTIF('Checklist Evidencia'!$H$5:$H$30,"⚠ VENCIDO"),IFERROR(INDEX('Checklist Evidencia'!$C$5:$C$30,MATCH(26,'Checklist Evidencia'!$I$5:$I$30,0)),""),"")</f>
        <v/>
      </c>
      <c r="B55" s="55" t="str">
        <f aca="false">IF(26&lt;=COUNTIF('Checklist Evidencia'!$H$5:$H$30,"⚠ VENCIDO"),IFERROR(INDEX('Checklist Evidencia'!$B$5:$B$30,MATCH(26,'Checklist Evidencia'!$I$5:$I$30,0)),""),"")</f>
        <v/>
      </c>
      <c r="C55" s="55" t="str">
        <f aca="false">IF(26&lt;=COUNTIF('Checklist Evidencia'!$H$5:$H$30,"⚠ VENCIDO"),IFERROR(INDEX('Checklist Evidencia'!$D$5:$D$30,MATCH(26,'Checklist Evidencia'!$I$5:$I$30,0)),""),"")</f>
        <v/>
      </c>
      <c r="D55" s="55" t="str">
        <f aca="false">IF(26&lt;=COUNTIF('Checklist Evidencia'!$H$5:$H$30,"⚠ VENCIDO"),IFERROR(INDEX('Checklist Evidencia'!$E$5:$E$30,MATCH(26,'Checklist Evidencia'!$I$5:$I$30,0)),""),"")</f>
        <v/>
      </c>
      <c r="E55" s="58" t="str">
        <f aca="false">IF(26&lt;=COUNTIF('Checklist Evidencia'!$H$5:$H$30,"⚠ VENCIDO"),IFERROR(INDEX('Checklist Evidencia'!$G$5:$G$30,MATCH(26,'Checklist Evidencia'!$I$5:$I$30,0)),""),"")</f>
        <v/>
      </c>
      <c r="F55" s="59" t="str">
        <f aca="true">IF(AND(26&lt;=COUNTIF('Checklist Evidencia'!$H$5:$H$30,"⚠ VENCIDO"),E55&lt;&gt;""),TODAY()-E55,"")</f>
        <v/>
      </c>
    </row>
  </sheetData>
  <mergeCells count="6">
    <mergeCell ref="A1:E1"/>
    <mergeCell ref="A2:F2"/>
    <mergeCell ref="A4:C4"/>
    <mergeCell ref="D4:F4"/>
    <mergeCell ref="A6:F6"/>
    <mergeCell ref="A28:F28"/>
  </mergeCells>
  <conditionalFormatting sqref="D8:D26">
    <cfRule type="cellIs" priority="2" operator="equal" aboveAverage="0" equalAverage="0" bottom="0" percent="0" rank="0" text="" dxfId="13">
      <formula>"Alto"</formula>
    </cfRule>
  </conditionalFormatting>
  <conditionalFormatting sqref="F30:F55">
    <cfRule type="cellIs" priority="3" operator="greaterThan" aboveAverage="0" equalAverage="0" bottom="0" percent="0" rank="0" text="" dxfId="13">
      <formula>0</formula>
    </cfRule>
  </conditionalFormatting>
  <hyperlinks>
    <hyperlink ref="F1" r:id="rId1" location="'Inicio'!A1" display="🏠 Inicio"/>
  </hyperlink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42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4"/>
    <col collapsed="false" customWidth="true" hidden="false" outlineLevel="0" max="4" min="2" style="0" width="13"/>
    <col collapsed="false" customWidth="true" hidden="false" outlineLevel="0" max="5" min="5" style="0" width="10"/>
    <col collapsed="false" customWidth="true" hidden="false" outlineLevel="0" max="6" min="6" style="0" width="14"/>
    <col collapsed="false" customWidth="true" hidden="false" outlineLevel="0" max="7" min="7" style="0" width="12"/>
  </cols>
  <sheetData>
    <row r="1" customFormat="false" ht="33.75" hidden="false" customHeight="true" outlineLevel="0" collapsed="false">
      <c r="A1" s="24" t="s">
        <v>258</v>
      </c>
      <c r="B1" s="24"/>
      <c r="C1" s="24"/>
      <c r="D1" s="24"/>
      <c r="E1" s="24"/>
      <c r="F1" s="24"/>
      <c r="G1" s="14" t="s">
        <v>32</v>
      </c>
    </row>
    <row r="2" customFormat="false" ht="19.5" hidden="false" customHeight="true" outlineLevel="0" collapsed="false">
      <c r="A2" s="26" t="s">
        <v>259</v>
      </c>
      <c r="B2" s="26"/>
      <c r="C2" s="26"/>
      <c r="D2" s="26"/>
      <c r="E2" s="26"/>
      <c r="F2" s="26"/>
      <c r="G2" s="26"/>
    </row>
    <row r="3" customFormat="false" ht="6" hidden="false" customHeight="true" outlineLevel="0" collapsed="false"/>
    <row r="4" customFormat="false" ht="15" hidden="false" customHeight="false" outlineLevel="0" collapsed="false">
      <c r="A4" s="51" t="s">
        <v>260</v>
      </c>
      <c r="B4" s="51"/>
      <c r="C4" s="51"/>
      <c r="D4" s="51"/>
      <c r="E4" s="51"/>
      <c r="F4" s="51"/>
      <c r="G4" s="51"/>
    </row>
    <row r="5" customFormat="false" ht="30" hidden="false" customHeight="true" outlineLevel="0" collapsed="false">
      <c r="A5" s="60" t="s">
        <v>261</v>
      </c>
      <c r="B5" s="60" t="s">
        <v>262</v>
      </c>
      <c r="C5" s="60" t="s">
        <v>263</v>
      </c>
      <c r="D5" s="60" t="s">
        <v>264</v>
      </c>
      <c r="E5" s="60" t="s">
        <v>265</v>
      </c>
      <c r="F5" s="60" t="s">
        <v>266</v>
      </c>
      <c r="G5" s="60" t="s">
        <v>267</v>
      </c>
    </row>
    <row r="6" customFormat="false" ht="30" hidden="false" customHeight="true" outlineLevel="0" collapsed="false">
      <c r="A6" s="61" t="n">
        <f aca="false">COUNTA('Matriz de Riesgo'!$A$5:$A$23)</f>
        <v>19</v>
      </c>
      <c r="B6" s="61" t="n">
        <f aca="false">COUNTIF('Matriz de Riesgo'!$O$5:$O$23,"Alto")</f>
        <v>15</v>
      </c>
      <c r="C6" s="61" t="n">
        <f aca="false">COUNTIF('Matriz de Riesgo'!$O$5:$O$23,"Medio")</f>
        <v>3</v>
      </c>
      <c r="D6" s="61" t="n">
        <f aca="false">COUNTIF('Matriz de Riesgo'!$O$5:$O$23,"Bajo")</f>
        <v>1</v>
      </c>
      <c r="E6" s="61" t="n">
        <f aca="false">COUNTIF('Matriz de Riesgo'!$Q$5:$Q$23,"Atender ya")</f>
        <v>15</v>
      </c>
      <c r="F6" s="61" t="str">
        <f aca="false">TEXT(AVERAGE('Matriz de Riesgo'!$N$5:$N$23),"0%")</f>
        <v>0%</v>
      </c>
      <c r="G6" s="61" t="str">
        <f aca="false">COUNTIF('Checklist Evidencia'!$E$5:$E$30,"Completo")&amp;" / "&amp;COUNTA('Checklist Evidencia'!$E$5:$E$30)</f>
        <v>0 / 26</v>
      </c>
    </row>
    <row r="8" customFormat="false" ht="15" hidden="false" customHeight="false" outlineLevel="0" collapsed="false">
      <c r="A8" s="51" t="s">
        <v>268</v>
      </c>
      <c r="B8" s="51"/>
      <c r="C8" s="51"/>
      <c r="D8" s="51"/>
      <c r="E8" s="51"/>
      <c r="F8" s="51"/>
      <c r="G8" s="51"/>
    </row>
    <row r="9" customFormat="false" ht="21.75" hidden="false" customHeight="true" outlineLevel="0" collapsed="false">
      <c r="A9" s="52" t="s">
        <v>121</v>
      </c>
      <c r="B9" s="52" t="s">
        <v>249</v>
      </c>
      <c r="C9" s="52" t="s">
        <v>250</v>
      </c>
      <c r="D9" s="52" t="s">
        <v>251</v>
      </c>
      <c r="E9" s="52" t="s">
        <v>252</v>
      </c>
      <c r="F9" s="52" t="s">
        <v>269</v>
      </c>
      <c r="G9" s="52" t="s">
        <v>270</v>
      </c>
    </row>
    <row r="10" customFormat="false" ht="30" hidden="false" customHeight="true" outlineLevel="0" collapsed="false">
      <c r="A10" s="53" t="n">
        <v>1</v>
      </c>
      <c r="B10" s="53" t="n">
        <f aca="false">IFERROR(INDEX('Matriz de Riesgo'!$A$5:$A$23,MATCH($A10,'Matriz de Riesgo'!$P$5:$P$23,0)),"")</f>
        <v>1</v>
      </c>
      <c r="C10" s="53" t="str">
        <f aca="false">IFERROR(INDEX('Matriz de Riesgo'!$B$5:$B$23,MATCH($A10,'Matriz de Riesgo'!$P$5:$P$23,0)),"")</f>
        <v>A. Liderazgo, ética y conducta de directivos</v>
      </c>
      <c r="D10" s="31" t="str">
        <f aca="false">IFERROR(INDEX('Matriz de Riesgo'!$C$5:$C$23,MATCH($A10,'Matriz de Riesgo'!$P$5:$P$23,0)),"")</f>
        <v>Vinculación mediática de socios o directivos con señalamientos de corrupción, lavado de dinero u otros delitos, incluso sin resolución judicial firme: el daño reputacional es inmediato e independiente de la veracidad jurídica.</v>
      </c>
      <c r="E10" s="54" t="str">
        <f aca="false">IFERROR(INDEX('Matriz de Riesgo'!$O$5:$O$23,MATCH($A10,'Matriz de Riesgo'!$P$5:$P$23,0)),"")</f>
        <v>Alto</v>
      </c>
      <c r="F10" s="54" t="str">
        <f aca="false">IFERROR(INDEX('Matriz de Riesgo'!$Q$5:$Q$23,MATCH($A10,'Matriz de Riesgo'!$P$5:$P$23,0)),"")</f>
        <v>Atender ya</v>
      </c>
      <c r="G10" s="62" t="n">
        <f aca="false">IFERROR(INDEX('Matriz de Riesgo'!$N$5:$N$23,MATCH($A10,'Matriz de Riesgo'!$P$5:$P$23,0)),"")</f>
        <v>0</v>
      </c>
    </row>
    <row r="11" customFormat="false" ht="30" hidden="false" customHeight="true" outlineLevel="0" collapsed="false">
      <c r="A11" s="55" t="n">
        <v>2</v>
      </c>
      <c r="B11" s="55" t="n">
        <f aca="false">IFERROR(INDEX('Matriz de Riesgo'!$A$5:$A$23,MATCH($A11,'Matriz de Riesgo'!$P$5:$P$23,0)),"")</f>
        <v>5</v>
      </c>
      <c r="C11" s="55" t="str">
        <f aca="false">IFERROR(INDEX('Matriz de Riesgo'!$B$5:$B$23,MATCH($A11,'Matriz de Riesgo'!$P$5:$P$23,0)),"")</f>
        <v>B. Comunicación digital, redes sociales y crisis virales</v>
      </c>
      <c r="D11" s="40" t="str">
        <f aca="false">IFERROR(INDEX('Matriz de Riesgo'!$C$5:$C$23,MATCH($A11,'Matriz de Riesgo'!$P$5:$P$23,0)),"")</f>
        <v>Viralización acelerada de errores operativos o fallas de servicio en redes sociales, con potencial de escalar a tendencia nacional en cuestión de horas.</v>
      </c>
      <c r="E11" s="54" t="str">
        <f aca="false">IFERROR(INDEX('Matriz de Riesgo'!$O$5:$O$23,MATCH($A11,'Matriz de Riesgo'!$P$5:$P$23,0)),"")</f>
        <v>Alto</v>
      </c>
      <c r="F11" s="54" t="str">
        <f aca="false">IFERROR(INDEX('Matriz de Riesgo'!$Q$5:$Q$23,MATCH($A11,'Matriz de Riesgo'!$P$5:$P$23,0)),"")</f>
        <v>Atender ya</v>
      </c>
      <c r="G11" s="63" t="n">
        <f aca="false">IFERROR(INDEX('Matriz de Riesgo'!$N$5:$N$23,MATCH($A11,'Matriz de Riesgo'!$P$5:$P$23,0)),"")</f>
        <v>0</v>
      </c>
    </row>
    <row r="12" customFormat="false" ht="30" hidden="false" customHeight="true" outlineLevel="0" collapsed="false">
      <c r="A12" s="53" t="n">
        <v>3</v>
      </c>
      <c r="B12" s="53" t="n">
        <f aca="false">IFERROR(INDEX('Matriz de Riesgo'!$A$5:$A$23,MATCH($A12,'Matriz de Riesgo'!$P$5:$P$23,0)),"")</f>
        <v>2</v>
      </c>
      <c r="C12" s="53" t="str">
        <f aca="false">IFERROR(INDEX('Matriz de Riesgo'!$B$5:$B$23,MATCH($A12,'Matriz de Riesgo'!$P$5:$P$23,0)),"")</f>
        <v>A. Liderazgo, ética y conducta de directivos</v>
      </c>
      <c r="D12" s="31" t="str">
        <f aca="false">IFERROR(INDEX('Matriz de Riesgo'!$C$5:$C$23,MATCH($A12,'Matriz de Riesgo'!$P$5:$P$23,0)),"")</f>
        <v>Ausencia de comité de crisis y de protocolo de vocería previamente definidos: la improvisación durante la crisis profundiza el daño reputacional.</v>
      </c>
      <c r="E12" s="54" t="str">
        <f aca="false">IFERROR(INDEX('Matriz de Riesgo'!$O$5:$O$23,MATCH($A12,'Matriz de Riesgo'!$P$5:$P$23,0)),"")</f>
        <v>Alto</v>
      </c>
      <c r="F12" s="54" t="str">
        <f aca="false">IFERROR(INDEX('Matriz de Riesgo'!$Q$5:$Q$23,MATCH($A12,'Matriz de Riesgo'!$P$5:$P$23,0)),"")</f>
        <v>Atender ya</v>
      </c>
      <c r="G12" s="62" t="n">
        <f aca="false">IFERROR(INDEX('Matriz de Riesgo'!$N$5:$N$23,MATCH($A12,'Matriz de Riesgo'!$P$5:$P$23,0)),"")</f>
        <v>0</v>
      </c>
    </row>
    <row r="13" customFormat="false" ht="30" hidden="false" customHeight="true" outlineLevel="0" collapsed="false">
      <c r="A13" s="55" t="n">
        <v>4</v>
      </c>
      <c r="B13" s="55" t="n">
        <f aca="false">IFERROR(INDEX('Matriz de Riesgo'!$A$5:$A$23,MATCH($A13,'Matriz de Riesgo'!$P$5:$P$23,0)),"")</f>
        <v>3</v>
      </c>
      <c r="C13" s="55" t="str">
        <f aca="false">IFERROR(INDEX('Matriz de Riesgo'!$B$5:$B$23,MATCH($A13,'Matriz de Riesgo'!$P$5:$P$23,0)),"")</f>
        <v>A. Liderazgo, ética y conducta de directivos</v>
      </c>
      <c r="D13" s="40" t="str">
        <f aca="false">IFERROR(INDEX('Matriz de Riesgo'!$C$5:$C$23,MATCH($A13,'Matriz de Riesgo'!$P$5:$P$23,0)),"")</f>
        <v>Incoherencia entre el discurso público de la dirección y las prácticas internas (cultura organizacional, clima laboral): los colaboradores se vuelven embajadores involuntarios que exponen malas prácticas.</v>
      </c>
      <c r="E13" s="54" t="str">
        <f aca="false">IFERROR(INDEX('Matriz de Riesgo'!$O$5:$O$23,MATCH($A13,'Matriz de Riesgo'!$P$5:$P$23,0)),"")</f>
        <v>Alto</v>
      </c>
      <c r="F13" s="54" t="str">
        <f aca="false">IFERROR(INDEX('Matriz de Riesgo'!$Q$5:$Q$23,MATCH($A13,'Matriz de Riesgo'!$P$5:$P$23,0)),"")</f>
        <v>Atender ya</v>
      </c>
      <c r="G13" s="63" t="n">
        <f aca="false">IFERROR(INDEX('Matriz de Riesgo'!$N$5:$N$23,MATCH($A13,'Matriz de Riesgo'!$P$5:$P$23,0)),"")</f>
        <v>0</v>
      </c>
    </row>
    <row r="14" customFormat="false" ht="30" hidden="false" customHeight="true" outlineLevel="0" collapsed="false">
      <c r="A14" s="53" t="n">
        <v>5</v>
      </c>
      <c r="B14" s="53" t="n">
        <f aca="false">IFERROR(INDEX('Matriz de Riesgo'!$A$5:$A$23,MATCH($A14,'Matriz de Riesgo'!$P$5:$P$23,0)),"")</f>
        <v>4</v>
      </c>
      <c r="C14" s="53" t="str">
        <f aca="false">IFERROR(INDEX('Matriz de Riesgo'!$B$5:$B$23,MATCH($A14,'Matriz de Riesgo'!$P$5:$P$23,0)),"")</f>
        <v>A. Liderazgo, ética y conducta de directivos</v>
      </c>
      <c r="D14" s="31" t="str">
        <f aca="false">IFERROR(INDEX('Matriz de Riesgo'!$C$5:$C$23,MATCH($A14,'Matriz de Riesgo'!$P$5:$P$23,0)),"")</f>
        <v>Debilidad del gobierno corporativo frente a riesgos éticos (conflictos de interés, corrupción): estos temas concentran el mayor rechazo social, con más del 95% de menciones negativas en estudios de riesgo reputacional en México.</v>
      </c>
      <c r="E14" s="54" t="str">
        <f aca="false">IFERROR(INDEX('Matriz de Riesgo'!$O$5:$O$23,MATCH($A14,'Matriz de Riesgo'!$P$5:$P$23,0)),"")</f>
        <v>Alto</v>
      </c>
      <c r="F14" s="54" t="str">
        <f aca="false">IFERROR(INDEX('Matriz de Riesgo'!$Q$5:$Q$23,MATCH($A14,'Matriz de Riesgo'!$P$5:$P$23,0)),"")</f>
        <v>Atender ya</v>
      </c>
      <c r="G14" s="62" t="n">
        <f aca="false">IFERROR(INDEX('Matriz de Riesgo'!$N$5:$N$23,MATCH($A14,'Matriz de Riesgo'!$P$5:$P$23,0)),"")</f>
        <v>0</v>
      </c>
    </row>
    <row r="15" customFormat="false" ht="30" hidden="false" customHeight="true" outlineLevel="0" collapsed="false">
      <c r="A15" s="55" t="n">
        <v>6</v>
      </c>
      <c r="B15" s="55" t="n">
        <f aca="false">IFERROR(INDEX('Matriz de Riesgo'!$A$5:$A$23,MATCH($A15,'Matriz de Riesgo'!$P$5:$P$23,0)),"")</f>
        <v>6</v>
      </c>
      <c r="C15" s="55" t="str">
        <f aca="false">IFERROR(INDEX('Matriz de Riesgo'!$B$5:$B$23,MATCH($A15,'Matriz de Riesgo'!$P$5:$P$23,0)),"")</f>
        <v>B. Comunicación digital, redes sociales y crisis virales</v>
      </c>
      <c r="D15" s="40" t="str">
        <f aca="false">IFERROR(INDEX('Matriz de Riesgo'!$C$5:$C$23,MATCH($A15,'Matriz de Riesgo'!$P$5:$P$23,0)),"")</f>
        <v>Ausencia de monitoreo continuo de menciones de marca en redes sociales y medios digitales que permita detectar una crisis en formación.</v>
      </c>
      <c r="E15" s="54" t="str">
        <f aca="false">IFERROR(INDEX('Matriz de Riesgo'!$O$5:$O$23,MATCH($A15,'Matriz de Riesgo'!$P$5:$P$23,0)),"")</f>
        <v>Alto</v>
      </c>
      <c r="F15" s="54" t="str">
        <f aca="false">IFERROR(INDEX('Matriz de Riesgo'!$Q$5:$Q$23,MATCH($A15,'Matriz de Riesgo'!$P$5:$P$23,0)),"")</f>
        <v>Atender ya</v>
      </c>
      <c r="G15" s="63" t="n">
        <f aca="false">IFERROR(INDEX('Matriz de Riesgo'!$N$5:$N$23,MATCH($A15,'Matriz de Riesgo'!$P$5:$P$23,0)),"")</f>
        <v>0</v>
      </c>
    </row>
    <row r="16" customFormat="false" ht="30" hidden="false" customHeight="true" outlineLevel="0" collapsed="false">
      <c r="A16" s="53" t="n">
        <v>7</v>
      </c>
      <c r="B16" s="53" t="n">
        <f aca="false">IFERROR(INDEX('Matriz de Riesgo'!$A$5:$A$23,MATCH($A16,'Matriz de Riesgo'!$P$5:$P$23,0)),"")</f>
        <v>7</v>
      </c>
      <c r="C16" s="53" t="str">
        <f aca="false">IFERROR(INDEX('Matriz de Riesgo'!$B$5:$B$23,MATCH($A16,'Matriz de Riesgo'!$P$5:$P$23,0)),"")</f>
        <v>B. Comunicación digital, redes sociales y crisis virales</v>
      </c>
      <c r="D16" s="31" t="str">
        <f aca="false">IFERROR(INDEX('Matriz de Riesgo'!$C$5:$C$23,MATCH($A16,'Matriz de Riesgo'!$P$5:$P$23,0)),"")</f>
        <v>Silencio corporativo prolongado o respuesta improvisada ante una crisis digital: el silencio tiene un costo reputacional alto y profundiza la narrativa negativa.</v>
      </c>
      <c r="E16" s="54" t="str">
        <f aca="false">IFERROR(INDEX('Matriz de Riesgo'!$O$5:$O$23,MATCH($A16,'Matriz de Riesgo'!$P$5:$P$23,0)),"")</f>
        <v>Alto</v>
      </c>
      <c r="F16" s="54" t="str">
        <f aca="false">IFERROR(INDEX('Matriz de Riesgo'!$Q$5:$Q$23,MATCH($A16,'Matriz de Riesgo'!$P$5:$P$23,0)),"")</f>
        <v>Atender ya</v>
      </c>
      <c r="G16" s="62" t="n">
        <f aca="false">IFERROR(INDEX('Matriz de Riesgo'!$N$5:$N$23,MATCH($A16,'Matriz de Riesgo'!$P$5:$P$23,0)),"")</f>
        <v>0</v>
      </c>
    </row>
    <row r="17" customFormat="false" ht="30" hidden="false" customHeight="true" outlineLevel="0" collapsed="false">
      <c r="A17" s="55" t="n">
        <v>8</v>
      </c>
      <c r="B17" s="55" t="n">
        <f aca="false">IFERROR(INDEX('Matriz de Riesgo'!$A$5:$A$23,MATCH($A17,'Matriz de Riesgo'!$P$5:$P$23,0)),"")</f>
        <v>9</v>
      </c>
      <c r="C17" s="55" t="str">
        <f aca="false">IFERROR(INDEX('Matriz de Riesgo'!$B$5:$B$23,MATCH($A17,'Matriz de Riesgo'!$P$5:$P$23,0)),"")</f>
        <v>B. Comunicación digital, redes sociales y crisis virales</v>
      </c>
      <c r="D17" s="40" t="str">
        <f aca="false">IFERROR(INDEX('Matriz de Riesgo'!$C$5:$C$23,MATCH($A17,'Matriz de Riesgo'!$P$5:$P$23,0)),"")</f>
        <v>Cancelación social o boicot de consumidores por percepción de incoherencia ética o por una postura pública controvertida de la empresa o sus directivos.</v>
      </c>
      <c r="E17" s="54" t="str">
        <f aca="false">IFERROR(INDEX('Matriz de Riesgo'!$O$5:$O$23,MATCH($A17,'Matriz de Riesgo'!$P$5:$P$23,0)),"")</f>
        <v>Alto</v>
      </c>
      <c r="F17" s="54" t="str">
        <f aca="false">IFERROR(INDEX('Matriz de Riesgo'!$Q$5:$Q$23,MATCH($A17,'Matriz de Riesgo'!$P$5:$P$23,0)),"")</f>
        <v>Atender ya</v>
      </c>
      <c r="G17" s="63" t="n">
        <f aca="false">IFERROR(INDEX('Matriz de Riesgo'!$N$5:$N$23,MATCH($A17,'Matriz de Riesgo'!$P$5:$P$23,0)),"")</f>
        <v>0</v>
      </c>
    </row>
    <row r="18" customFormat="false" ht="30" hidden="false" customHeight="true" outlineLevel="0" collapsed="false">
      <c r="A18" s="53" t="n">
        <v>9</v>
      </c>
      <c r="B18" s="53" t="n">
        <f aca="false">IFERROR(INDEX('Matriz de Riesgo'!$A$5:$A$23,MATCH($A18,'Matriz de Riesgo'!$P$5:$P$23,0)),"")</f>
        <v>10</v>
      </c>
      <c r="C18" s="53" t="str">
        <f aca="false">IFERROR(INDEX('Matriz de Riesgo'!$B$5:$B$23,MATCH($A18,'Matriz de Riesgo'!$P$5:$P$23,0)),"")</f>
        <v>C. Gobierno corporativo, cumplimiento y ESG/sostenibilidad</v>
      </c>
      <c r="D18" s="31" t="str">
        <f aca="false">IFERROR(INDEX('Matriz de Riesgo'!$C$5:$C$23,MATCH($A18,'Matriz de Riesgo'!$P$5:$P$23,0)),"")</f>
        <v>Greenwashing: discrepancia entre lo declarado en el informe de sostenibilidad y la práctica real, con riesgo de litigios y sanciones regulatorias; el riesgo reputacional se transforma en riesgo financiero directo.</v>
      </c>
      <c r="E18" s="54" t="str">
        <f aca="false">IFERROR(INDEX('Matriz de Riesgo'!$O$5:$O$23,MATCH($A18,'Matriz de Riesgo'!$P$5:$P$23,0)),"")</f>
        <v>Alto</v>
      </c>
      <c r="F18" s="54" t="str">
        <f aca="false">IFERROR(INDEX('Matriz de Riesgo'!$Q$5:$Q$23,MATCH($A18,'Matriz de Riesgo'!$P$5:$P$23,0)),"")</f>
        <v>Atender ya</v>
      </c>
      <c r="G18" s="62" t="n">
        <f aca="false">IFERROR(INDEX('Matriz de Riesgo'!$N$5:$N$23,MATCH($A18,'Matriz de Riesgo'!$P$5:$P$23,0)),"")</f>
        <v>0</v>
      </c>
    </row>
    <row r="19" customFormat="false" ht="30" hidden="false" customHeight="true" outlineLevel="0" collapsed="false">
      <c r="A19" s="55" t="n">
        <v>10</v>
      </c>
      <c r="B19" s="55" t="n">
        <f aca="false">IFERROR(INDEX('Matriz de Riesgo'!$A$5:$A$23,MATCH($A19,'Matriz de Riesgo'!$P$5:$P$23,0)),"")</f>
        <v>11</v>
      </c>
      <c r="C19" s="55" t="str">
        <f aca="false">IFERROR(INDEX('Matriz de Riesgo'!$B$5:$B$23,MATCH($A19,'Matriz de Riesgo'!$P$5:$P$23,0)),"")</f>
        <v>C. Gobierno corporativo, cumplimiento y ESG/sostenibilidad</v>
      </c>
      <c r="D19" s="40" t="str">
        <f aca="false">IFERROR(INDEX('Matriz de Riesgo'!$C$5:$C$23,MATCH($A19,'Matriz de Riesgo'!$P$5:$P$23,0)),"")</f>
        <v>Debilidad en la debida diligencia de proveedores y terceros en esquemas de nearshoring: la incorporación acelerada de proveedores locales sin control estricto incrementa la exposición a corrupción y lavado de dinero.</v>
      </c>
      <c r="E19" s="54" t="str">
        <f aca="false">IFERROR(INDEX('Matriz de Riesgo'!$O$5:$O$23,MATCH($A19,'Matriz de Riesgo'!$P$5:$P$23,0)),"")</f>
        <v>Alto</v>
      </c>
      <c r="F19" s="54" t="str">
        <f aca="false">IFERROR(INDEX('Matriz de Riesgo'!$Q$5:$Q$23,MATCH($A19,'Matriz de Riesgo'!$P$5:$P$23,0)),"")</f>
        <v>Atender ya</v>
      </c>
      <c r="G19" s="63" t="n">
        <f aca="false">IFERROR(INDEX('Matriz de Riesgo'!$N$5:$N$23,MATCH($A19,'Matriz de Riesgo'!$P$5:$P$23,0)),"")</f>
        <v>0</v>
      </c>
    </row>
    <row r="20" customFormat="false" ht="30" hidden="false" customHeight="true" outlineLevel="0" collapsed="false">
      <c r="A20" s="53" t="n">
        <v>11</v>
      </c>
      <c r="B20" s="53" t="n">
        <f aca="false">IFERROR(INDEX('Matriz de Riesgo'!$A$5:$A$23,MATCH($A20,'Matriz de Riesgo'!$P$5:$P$23,0)),"")</f>
        <v>12</v>
      </c>
      <c r="C20" s="53" t="str">
        <f aca="false">IFERROR(INDEX('Matriz de Riesgo'!$B$5:$B$23,MATCH($A20,'Matriz de Riesgo'!$P$5:$P$23,0)),"")</f>
        <v>C. Gobierno corporativo, cumplimiento y ESG/sostenibilidad</v>
      </c>
      <c r="D20" s="31" t="str">
        <f aca="false">IFERROR(INDEX('Matriz de Riesgo'!$C$5:$C$23,MATCH($A20,'Matriz de Riesgo'!$P$5:$P$23,0)),"")</f>
        <v>Denuncias de acoso, discriminación o clima laboral tóxico que trascienden a la opinión pública.</v>
      </c>
      <c r="E20" s="54" t="str">
        <f aca="false">IFERROR(INDEX('Matriz de Riesgo'!$O$5:$O$23,MATCH($A20,'Matriz de Riesgo'!$P$5:$P$23,0)),"")</f>
        <v>Alto</v>
      </c>
      <c r="F20" s="54" t="str">
        <f aca="false">IFERROR(INDEX('Matriz de Riesgo'!$Q$5:$Q$23,MATCH($A20,'Matriz de Riesgo'!$P$5:$P$23,0)),"")</f>
        <v>Atender ya</v>
      </c>
      <c r="G20" s="62" t="n">
        <f aca="false">IFERROR(INDEX('Matriz de Riesgo'!$N$5:$N$23,MATCH($A20,'Matriz de Riesgo'!$P$5:$P$23,0)),"")</f>
        <v>0</v>
      </c>
    </row>
    <row r="21" customFormat="false" ht="30" hidden="false" customHeight="true" outlineLevel="0" collapsed="false">
      <c r="A21" s="55" t="n">
        <v>12</v>
      </c>
      <c r="B21" s="55" t="n">
        <f aca="false">IFERROR(INDEX('Matriz de Riesgo'!$A$5:$A$23,MATCH($A21,'Matriz de Riesgo'!$P$5:$P$23,0)),"")</f>
        <v>13</v>
      </c>
      <c r="C21" s="55" t="str">
        <f aca="false">IFERROR(INDEX('Matriz de Riesgo'!$B$5:$B$23,MATCH($A21,'Matriz de Riesgo'!$P$5:$P$23,0)),"")</f>
        <v>C. Gobierno corporativo, cumplimiento y ESG/sostenibilidad</v>
      </c>
      <c r="D21" s="40" t="str">
        <f aca="false">IFERROR(INDEX('Matriz de Riesgo'!$C$5:$C$23,MATCH($A21,'Matriz de Riesgo'!$P$5:$P$23,0)),"")</f>
        <v>Fallas en seguridad y salud ocupacional que derivan en accidentes con exposición mediática.</v>
      </c>
      <c r="E21" s="54" t="str">
        <f aca="false">IFERROR(INDEX('Matriz de Riesgo'!$O$5:$O$23,MATCH($A21,'Matriz de Riesgo'!$P$5:$P$23,0)),"")</f>
        <v>Alto</v>
      </c>
      <c r="F21" s="54" t="str">
        <f aca="false">IFERROR(INDEX('Matriz de Riesgo'!$Q$5:$Q$23,MATCH($A21,'Matriz de Riesgo'!$P$5:$P$23,0)),"")</f>
        <v>Atender ya</v>
      </c>
      <c r="G21" s="63" t="n">
        <f aca="false">IFERROR(INDEX('Matriz de Riesgo'!$N$5:$N$23,MATCH($A21,'Matriz de Riesgo'!$P$5:$P$23,0)),"")</f>
        <v>0</v>
      </c>
    </row>
    <row r="22" customFormat="false" ht="30" hidden="false" customHeight="true" outlineLevel="0" collapsed="false">
      <c r="A22" s="53" t="n">
        <v>13</v>
      </c>
      <c r="B22" s="53" t="n">
        <f aca="false">IFERROR(INDEX('Matriz de Riesgo'!$A$5:$A$23,MATCH($A22,'Matriz de Riesgo'!$P$5:$P$23,0)),"")</f>
        <v>15</v>
      </c>
      <c r="C22" s="53" t="str">
        <f aca="false">IFERROR(INDEX('Matriz de Riesgo'!$B$5:$B$23,MATCH($A22,'Matriz de Riesgo'!$P$5:$P$23,0)),"")</f>
        <v>D. Seguridad de la información, datos y continuidad operativa</v>
      </c>
      <c r="D22" s="31" t="str">
        <f aca="false">IFERROR(INDEX('Matriz de Riesgo'!$C$5:$C$23,MATCH($A22,'Matriz de Riesgo'!$P$5:$P$23,0)),"")</f>
        <v>Filtración de datos personales de clientes o colaboradores, o ataque cibernético con exposición pública, que impacta la operación y la confianza de consumidores y mercados.</v>
      </c>
      <c r="E22" s="54" t="str">
        <f aca="false">IFERROR(INDEX('Matriz de Riesgo'!$O$5:$O$23,MATCH($A22,'Matriz de Riesgo'!$P$5:$P$23,0)),"")</f>
        <v>Alto</v>
      </c>
      <c r="F22" s="54" t="str">
        <f aca="false">IFERROR(INDEX('Matriz de Riesgo'!$Q$5:$Q$23,MATCH($A22,'Matriz de Riesgo'!$P$5:$P$23,0)),"")</f>
        <v>Atender ya</v>
      </c>
      <c r="G22" s="62" t="n">
        <f aca="false">IFERROR(INDEX('Matriz de Riesgo'!$N$5:$N$23,MATCH($A22,'Matriz de Riesgo'!$P$5:$P$23,0)),"")</f>
        <v>0</v>
      </c>
    </row>
    <row r="23" customFormat="false" ht="30" hidden="false" customHeight="true" outlineLevel="0" collapsed="false">
      <c r="A23" s="55" t="n">
        <v>14</v>
      </c>
      <c r="B23" s="55" t="n">
        <f aca="false">IFERROR(INDEX('Matriz de Riesgo'!$A$5:$A$23,MATCH($A23,'Matriz de Riesgo'!$P$5:$P$23,0)),"")</f>
        <v>18</v>
      </c>
      <c r="C23" s="55" t="str">
        <f aca="false">IFERROR(INDEX('Matriz de Riesgo'!$B$5:$B$23,MATCH($A23,'Matriz de Riesgo'!$P$5:$P$23,0)),"")</f>
        <v>D. Seguridad de la información, datos y continuidad operativa</v>
      </c>
      <c r="D23" s="40" t="str">
        <f aca="false">IFERROR(INDEX('Matriz de Riesgo'!$C$5:$C$23,MATCH($A23,'Matriz de Riesgo'!$P$5:$P$23,0)),"")</f>
        <v>Litigios o controversias regulatorias de alto perfil mediático (fiscal, laboral, ambiental) sin estrategia de comunicación coordinada con el área legal.</v>
      </c>
      <c r="E23" s="54" t="str">
        <f aca="false">IFERROR(INDEX('Matriz de Riesgo'!$O$5:$O$23,MATCH($A23,'Matriz de Riesgo'!$P$5:$P$23,0)),"")</f>
        <v>Alto</v>
      </c>
      <c r="F23" s="54" t="str">
        <f aca="false">IFERROR(INDEX('Matriz de Riesgo'!$Q$5:$Q$23,MATCH($A23,'Matriz de Riesgo'!$P$5:$P$23,0)),"")</f>
        <v>Atender ya</v>
      </c>
      <c r="G23" s="63" t="n">
        <f aca="false">IFERROR(INDEX('Matriz de Riesgo'!$N$5:$N$23,MATCH($A23,'Matriz de Riesgo'!$P$5:$P$23,0)),"")</f>
        <v>0</v>
      </c>
    </row>
    <row r="24" customFormat="false" ht="30" hidden="false" customHeight="true" outlineLevel="0" collapsed="false">
      <c r="A24" s="53" t="n">
        <v>15</v>
      </c>
      <c r="B24" s="53" t="n">
        <f aca="false">IFERROR(INDEX('Matriz de Riesgo'!$A$5:$A$23,MATCH($A24,'Matriz de Riesgo'!$P$5:$P$23,0)),"")</f>
        <v>19</v>
      </c>
      <c r="C24" s="53" t="str">
        <f aca="false">IFERROR(INDEX('Matriz de Riesgo'!$B$5:$B$23,MATCH($A24,'Matriz de Riesgo'!$P$5:$P$23,0)),"")</f>
        <v>D. Seguridad de la información, datos y continuidad operativa</v>
      </c>
      <c r="D24" s="31" t="str">
        <f aca="false">IFERROR(INDEX('Matriz de Riesgo'!$C$5:$C$23,MATCH($A24,'Matriz de Riesgo'!$P$5:$P$23,0)),"")</f>
        <v>Falta de simulacros y comités de crisis probados: la reputación se juega en la velocidad y consistencia de la respuesta, no solo en el contenido del mensaje.</v>
      </c>
      <c r="E24" s="54" t="str">
        <f aca="false">IFERROR(INDEX('Matriz de Riesgo'!$O$5:$O$23,MATCH($A24,'Matriz de Riesgo'!$P$5:$P$23,0)),"")</f>
        <v>Alto</v>
      </c>
      <c r="F24" s="54" t="str">
        <f aca="false">IFERROR(INDEX('Matriz de Riesgo'!$Q$5:$Q$23,MATCH($A24,'Matriz de Riesgo'!$P$5:$P$23,0)),"")</f>
        <v>Atender ya</v>
      </c>
      <c r="G24" s="62" t="n">
        <f aca="false">IFERROR(INDEX('Matriz de Riesgo'!$N$5:$N$23,MATCH($A24,'Matriz de Riesgo'!$P$5:$P$23,0)),"")</f>
        <v>0</v>
      </c>
    </row>
    <row r="25" customFormat="false" ht="30" hidden="false" customHeight="true" outlineLevel="0" collapsed="false">
      <c r="A25" s="55" t="n">
        <v>16</v>
      </c>
      <c r="B25" s="55" t="n">
        <f aca="false">IFERROR(INDEX('Matriz de Riesgo'!$A$5:$A$23,MATCH($A25,'Matriz de Riesgo'!$P$5:$P$23,0)),"")</f>
        <v>8</v>
      </c>
      <c r="C25" s="55" t="str">
        <f aca="false">IFERROR(INDEX('Matriz de Riesgo'!$B$5:$B$23,MATCH($A25,'Matriz de Riesgo'!$P$5:$P$23,0)),"")</f>
        <v>B. Comunicación digital, redes sociales y crisis virales</v>
      </c>
      <c r="D25" s="40" t="str">
        <f aca="false">IFERROR(INDEX('Matriz de Riesgo'!$C$5:$C$23,MATCH($A25,'Matriz de Riesgo'!$P$5:$P$23,0)),"")</f>
        <v>Desinformación o noticias falsas sobre la empresa que se difunden más rápido de lo que la organización puede desmentir.</v>
      </c>
      <c r="E25" s="54" t="str">
        <f aca="false">IFERROR(INDEX('Matriz de Riesgo'!$O$5:$O$23,MATCH($A25,'Matriz de Riesgo'!$P$5:$P$23,0)),"")</f>
        <v>Medio</v>
      </c>
      <c r="F25" s="54" t="str">
        <f aca="false">IFERROR(INDEX('Matriz de Riesgo'!$Q$5:$Q$23,MATCH($A25,'Matriz de Riesgo'!$P$5:$P$23,0)),"")</f>
        <v>En seguimiento</v>
      </c>
      <c r="G25" s="63" t="n">
        <f aca="false">IFERROR(INDEX('Matriz de Riesgo'!$N$5:$N$23,MATCH($A25,'Matriz de Riesgo'!$P$5:$P$23,0)),"")</f>
        <v>0</v>
      </c>
    </row>
    <row r="26" customFormat="false" ht="30" hidden="false" customHeight="true" outlineLevel="0" collapsed="false">
      <c r="A26" s="53" t="n">
        <v>17</v>
      </c>
      <c r="B26" s="53" t="n">
        <f aca="false">IFERROR(INDEX('Matriz de Riesgo'!$A$5:$A$23,MATCH($A26,'Matriz de Riesgo'!$P$5:$P$23,0)),"")</f>
        <v>14</v>
      </c>
      <c r="C26" s="53" t="str">
        <f aca="false">IFERROR(INDEX('Matriz de Riesgo'!$B$5:$B$23,MATCH($A26,'Matriz de Riesgo'!$P$5:$P$23,0)),"")</f>
        <v>C. Gobierno corporativo, cumplimiento y ESG/sostenibilidad</v>
      </c>
      <c r="D26" s="31" t="str">
        <f aca="false">IFERROR(INDEX('Matriz de Riesgo'!$C$5:$C$23,MATCH($A26,'Matriz de Riesgo'!$P$5:$P$23,0)),"")</f>
        <v>Ausencia de indicadores y evidencia verificable de cumplimiento ESG frente a exigencias crecientes de inversionistas, clientes corporativos y reguladores.</v>
      </c>
      <c r="E26" s="54" t="str">
        <f aca="false">IFERROR(INDEX('Matriz de Riesgo'!$O$5:$O$23,MATCH($A26,'Matriz de Riesgo'!$P$5:$P$23,0)),"")</f>
        <v>Medio</v>
      </c>
      <c r="F26" s="54" t="str">
        <f aca="false">IFERROR(INDEX('Matriz de Riesgo'!$Q$5:$Q$23,MATCH($A26,'Matriz de Riesgo'!$P$5:$P$23,0)),"")</f>
        <v>En seguimiento</v>
      </c>
      <c r="G26" s="62" t="n">
        <f aca="false">IFERROR(INDEX('Matriz de Riesgo'!$N$5:$N$23,MATCH($A26,'Matriz de Riesgo'!$P$5:$P$23,0)),"")</f>
        <v>0</v>
      </c>
    </row>
    <row r="27" customFormat="false" ht="30" hidden="false" customHeight="true" outlineLevel="0" collapsed="false">
      <c r="A27" s="55" t="n">
        <v>18</v>
      </c>
      <c r="B27" s="55" t="n">
        <f aca="false">IFERROR(INDEX('Matriz de Riesgo'!$A$5:$A$23,MATCH($A27,'Matriz de Riesgo'!$P$5:$P$23,0)),"")</f>
        <v>17</v>
      </c>
      <c r="C27" s="55" t="str">
        <f aca="false">IFERROR(INDEX('Matriz de Riesgo'!$B$5:$B$23,MATCH($A27,'Matriz de Riesgo'!$P$5:$P$23,0)),"")</f>
        <v>D. Seguridad de la información, datos y continuidad operativa</v>
      </c>
      <c r="D27" s="40" t="str">
        <f aca="false">IFERROR(INDEX('Matriz de Riesgo'!$C$5:$C$23,MATCH($A27,'Matriz de Riesgo'!$P$5:$P$23,0)),"")</f>
        <v>Interrupciones operativas por factores estructurales (escasez de agua o energía en esquemas de nearshoring) que se perciben públicamente como falta de planeación.</v>
      </c>
      <c r="E27" s="54" t="str">
        <f aca="false">IFERROR(INDEX('Matriz de Riesgo'!$O$5:$O$23,MATCH($A27,'Matriz de Riesgo'!$P$5:$P$23,0)),"")</f>
        <v>Medio</v>
      </c>
      <c r="F27" s="54" t="str">
        <f aca="false">IFERROR(INDEX('Matriz de Riesgo'!$Q$5:$Q$23,MATCH($A27,'Matriz de Riesgo'!$P$5:$P$23,0)),"")</f>
        <v>En seguimiento</v>
      </c>
      <c r="G27" s="63" t="n">
        <f aca="false">IFERROR(INDEX('Matriz de Riesgo'!$N$5:$N$23,MATCH($A27,'Matriz de Riesgo'!$P$5:$P$23,0)),"")</f>
        <v>0</v>
      </c>
    </row>
    <row r="28" customFormat="false" ht="30" hidden="false" customHeight="true" outlineLevel="0" collapsed="false">
      <c r="A28" s="53" t="n">
        <v>19</v>
      </c>
      <c r="B28" s="53" t="n">
        <f aca="false">IFERROR(INDEX('Matriz de Riesgo'!$A$5:$A$23,MATCH($A28,'Matriz de Riesgo'!$P$5:$P$23,0)),"")</f>
        <v>16</v>
      </c>
      <c r="C28" s="53" t="str">
        <f aca="false">IFERROR(INDEX('Matriz de Riesgo'!$B$5:$B$23,MATCH($A28,'Matriz de Riesgo'!$P$5:$P$23,0)),"")</f>
        <v>D. Seguridad de la información, datos y continuidad operativa</v>
      </c>
      <c r="D28" s="31" t="str">
        <f aca="false">IFERROR(INDEX('Matriz de Riesgo'!$C$5:$C$23,MATCH($A28,'Matriz de Riesgo'!$P$5:$P$23,0)),"")</f>
        <v>Uso de inteligencia artificial en atención a clientes o toma de decisiones sin política de transparencia, con riesgo reputacional por sesgos, errores o falta de explicabilidad.</v>
      </c>
      <c r="E28" s="54" t="str">
        <f aca="false">IFERROR(INDEX('Matriz de Riesgo'!$O$5:$O$23,MATCH($A28,'Matriz de Riesgo'!$P$5:$P$23,0)),"")</f>
        <v>Bajo</v>
      </c>
      <c r="F28" s="54" t="str">
        <f aca="false">IFERROR(INDEX('Matriz de Riesgo'!$Q$5:$Q$23,MATCH($A28,'Matriz de Riesgo'!$P$5:$P$23,0)),"")</f>
        <v>Controlado</v>
      </c>
      <c r="G28" s="62" t="n">
        <f aca="false">IFERROR(INDEX('Matriz de Riesgo'!$N$5:$N$23,MATCH($A28,'Matriz de Riesgo'!$P$5:$P$23,0)),"")</f>
        <v>0</v>
      </c>
    </row>
    <row r="30" customFormat="false" ht="15" hidden="false" customHeight="false" outlineLevel="0" collapsed="false">
      <c r="A30" s="51" t="s">
        <v>271</v>
      </c>
      <c r="B30" s="51"/>
      <c r="C30" s="51"/>
      <c r="D30" s="51"/>
      <c r="E30" s="51"/>
      <c r="F30" s="51"/>
      <c r="G30" s="51"/>
    </row>
    <row r="31" customFormat="false" ht="21.75" hidden="false" customHeight="true" outlineLevel="0" collapsed="false">
      <c r="A31" s="52" t="s">
        <v>250</v>
      </c>
      <c r="B31" s="52" t="s">
        <v>127</v>
      </c>
      <c r="C31" s="52" t="s">
        <v>145</v>
      </c>
      <c r="D31" s="52" t="s">
        <v>272</v>
      </c>
      <c r="E31" s="52" t="s">
        <v>273</v>
      </c>
      <c r="F31" s="52" t="s">
        <v>274</v>
      </c>
    </row>
    <row r="32" customFormat="false" ht="31.5" hidden="false" customHeight="true" outlineLevel="0" collapsed="false">
      <c r="A32" s="64" t="s">
        <v>123</v>
      </c>
      <c r="B32" s="35" t="n">
        <f aca="false">COUNTIFS('Matriz de Riesgo'!$B$5:$B$23,$A32,'Matriz de Riesgo'!$O$5:$O$23,"Alto")</f>
        <v>4</v>
      </c>
      <c r="C32" s="35" t="n">
        <f aca="false">COUNTIFS('Matriz de Riesgo'!$B$5:$B$23,$A32,'Matriz de Riesgo'!$O$5:$O$23,"Medio")</f>
        <v>0</v>
      </c>
      <c r="D32" s="35" t="n">
        <f aca="false">COUNTIFS('Matriz de Riesgo'!$B$5:$B$23,$A32,'Matriz de Riesgo'!$O$5:$O$23,"Bajo")</f>
        <v>0</v>
      </c>
      <c r="E32" s="35" t="n">
        <f aca="false">B32+C32+D32</f>
        <v>4</v>
      </c>
      <c r="F32" s="35" t="str">
        <f aca="false">IFERROR(TEXT(AVERAGEIF('Matriz de Riesgo'!$B$5:$B$23,$A32,'Matriz de Riesgo'!$N$5:$N$23),"0%"),"N/D")</f>
        <v>0%</v>
      </c>
    </row>
    <row r="33" customFormat="false" ht="31.5" hidden="false" customHeight="true" outlineLevel="0" collapsed="false">
      <c r="A33" s="65" t="s">
        <v>139</v>
      </c>
      <c r="B33" s="42" t="n">
        <f aca="false">COUNTIFS('Matriz de Riesgo'!$B$5:$B$23,$A33,'Matriz de Riesgo'!$O$5:$O$23,"Alto")</f>
        <v>4</v>
      </c>
      <c r="C33" s="42" t="n">
        <f aca="false">COUNTIFS('Matriz de Riesgo'!$B$5:$B$23,$A33,'Matriz de Riesgo'!$O$5:$O$23,"Medio")</f>
        <v>1</v>
      </c>
      <c r="D33" s="42" t="n">
        <f aca="false">COUNTIFS('Matriz de Riesgo'!$B$5:$B$23,$A33,'Matriz de Riesgo'!$O$5:$O$23,"Bajo")</f>
        <v>0</v>
      </c>
      <c r="E33" s="42" t="n">
        <f aca="false">B33+C33+D33</f>
        <v>5</v>
      </c>
      <c r="F33" s="42" t="str">
        <f aca="false">IFERROR(TEXT(AVERAGEIF('Matriz de Riesgo'!$B$5:$B$23,$A33,'Matriz de Riesgo'!$N$5:$N$23),"0%"),"N/D")</f>
        <v>0%</v>
      </c>
    </row>
    <row r="34" customFormat="false" ht="31.5" hidden="false" customHeight="true" outlineLevel="0" collapsed="false">
      <c r="A34" s="64" t="s">
        <v>156</v>
      </c>
      <c r="B34" s="35" t="n">
        <f aca="false">COUNTIFS('Matriz de Riesgo'!$B$5:$B$23,$A34,'Matriz de Riesgo'!$O$5:$O$23,"Alto")</f>
        <v>4</v>
      </c>
      <c r="C34" s="35" t="n">
        <f aca="false">COUNTIFS('Matriz de Riesgo'!$B$5:$B$23,$A34,'Matriz de Riesgo'!$O$5:$O$23,"Medio")</f>
        <v>1</v>
      </c>
      <c r="D34" s="35" t="n">
        <f aca="false">COUNTIFS('Matriz de Riesgo'!$B$5:$B$23,$A34,'Matriz de Riesgo'!$O$5:$O$23,"Bajo")</f>
        <v>0</v>
      </c>
      <c r="E34" s="35" t="n">
        <f aca="false">B34+C34+D34</f>
        <v>5</v>
      </c>
      <c r="F34" s="35" t="str">
        <f aca="false">IFERROR(TEXT(AVERAGEIF('Matriz de Riesgo'!$B$5:$B$23,$A34,'Matriz de Riesgo'!$N$5:$N$23),"0%"),"N/D")</f>
        <v>0%</v>
      </c>
    </row>
    <row r="35" customFormat="false" ht="31.5" hidden="false" customHeight="true" outlineLevel="0" collapsed="false">
      <c r="A35" s="65" t="s">
        <v>172</v>
      </c>
      <c r="B35" s="42" t="n">
        <f aca="false">COUNTIFS('Matriz de Riesgo'!$B$5:$B$23,$A35,'Matriz de Riesgo'!$O$5:$O$23,"Alto")</f>
        <v>3</v>
      </c>
      <c r="C35" s="42" t="n">
        <f aca="false">COUNTIFS('Matriz de Riesgo'!$B$5:$B$23,$A35,'Matriz de Riesgo'!$O$5:$O$23,"Medio")</f>
        <v>1</v>
      </c>
      <c r="D35" s="42" t="n">
        <f aca="false">COUNTIFS('Matriz de Riesgo'!$B$5:$B$23,$A35,'Matriz de Riesgo'!$O$5:$O$23,"Bajo")</f>
        <v>1</v>
      </c>
      <c r="E35" s="42" t="n">
        <f aca="false">B35+C35+D35</f>
        <v>5</v>
      </c>
      <c r="F35" s="42" t="str">
        <f aca="false">IFERROR(TEXT(AVERAGEIF('Matriz de Riesgo'!$B$5:$B$23,$A35,'Matriz de Riesgo'!$N$5:$N$23),"0%"),"N/D")</f>
        <v>0%</v>
      </c>
    </row>
    <row r="37" customFormat="false" ht="15" hidden="false" customHeight="false" outlineLevel="0" collapsed="false">
      <c r="A37" s="51" t="s">
        <v>275</v>
      </c>
      <c r="B37" s="51"/>
      <c r="C37" s="51"/>
      <c r="D37" s="51"/>
      <c r="E37" s="51"/>
      <c r="F37" s="51"/>
      <c r="G37" s="51"/>
    </row>
    <row r="38" customFormat="false" ht="21.75" hidden="false" customHeight="true" outlineLevel="0" collapsed="false">
      <c r="A38" s="52" t="s">
        <v>250</v>
      </c>
      <c r="B38" s="52" t="s">
        <v>276</v>
      </c>
      <c r="C38" s="52" t="s">
        <v>277</v>
      </c>
      <c r="D38" s="52" t="s">
        <v>199</v>
      </c>
      <c r="E38" s="52" t="s">
        <v>278</v>
      </c>
      <c r="F38" s="52" t="s">
        <v>273</v>
      </c>
      <c r="G38" s="52" t="s">
        <v>279</v>
      </c>
    </row>
    <row r="39" customFormat="false" ht="31.5" hidden="false" customHeight="true" outlineLevel="0" collapsed="false">
      <c r="A39" s="64" t="s">
        <v>123</v>
      </c>
      <c r="B39" s="35" t="n">
        <f aca="false">COUNTIFS('Checklist Evidencia'!$B$5:$B$30,$A39,'Checklist Evidencia'!$E$5:$E$30,"Completo")</f>
        <v>0</v>
      </c>
      <c r="C39" s="35" t="n">
        <f aca="false">COUNTIFS('Checklist Evidencia'!$B$5:$B$30,$A39,'Checklist Evidencia'!$E$5:$E$30,"En proceso")</f>
        <v>0</v>
      </c>
      <c r="D39" s="35" t="n">
        <f aca="false">COUNTIFS('Checklist Evidencia'!$B$5:$B$30,$A39,'Checklist Evidencia'!$E$5:$E$30,"Pendiente")</f>
        <v>7</v>
      </c>
      <c r="E39" s="35" t="n">
        <f aca="false">COUNTIFS('Checklist Evidencia'!$B$5:$B$30,$A39,'Checklist Evidencia'!$E$5:$E$30,"No aplica")</f>
        <v>0</v>
      </c>
      <c r="F39" s="35" t="n">
        <f aca="false">B39+C39+D39+E39</f>
        <v>7</v>
      </c>
      <c r="G39" s="35" t="str">
        <f aca="false">IFERROR(TEXT(B39/F39,"0%"),"N/D")</f>
        <v>0%</v>
      </c>
    </row>
    <row r="40" customFormat="false" ht="31.5" hidden="false" customHeight="true" outlineLevel="0" collapsed="false">
      <c r="A40" s="65" t="s">
        <v>139</v>
      </c>
      <c r="B40" s="42" t="n">
        <f aca="false">COUNTIFS('Checklist Evidencia'!$B$5:$B$30,$A40,'Checklist Evidencia'!$E$5:$E$30,"Completo")</f>
        <v>0</v>
      </c>
      <c r="C40" s="42" t="n">
        <f aca="false">COUNTIFS('Checklist Evidencia'!$B$5:$B$30,$A40,'Checklist Evidencia'!$E$5:$E$30,"En proceso")</f>
        <v>0</v>
      </c>
      <c r="D40" s="42" t="n">
        <f aca="false">COUNTIFS('Checklist Evidencia'!$B$5:$B$30,$A40,'Checklist Evidencia'!$E$5:$E$30,"Pendiente")</f>
        <v>6</v>
      </c>
      <c r="E40" s="42" t="n">
        <f aca="false">COUNTIFS('Checklist Evidencia'!$B$5:$B$30,$A40,'Checklist Evidencia'!$E$5:$E$30,"No aplica")</f>
        <v>0</v>
      </c>
      <c r="F40" s="42" t="n">
        <f aca="false">B40+C40+D40+E40</f>
        <v>6</v>
      </c>
      <c r="G40" s="42" t="str">
        <f aca="false">IFERROR(TEXT(B40/F40,"0%"),"N/D")</f>
        <v>0%</v>
      </c>
    </row>
    <row r="41" customFormat="false" ht="31.5" hidden="false" customHeight="true" outlineLevel="0" collapsed="false">
      <c r="A41" s="64" t="s">
        <v>156</v>
      </c>
      <c r="B41" s="35" t="n">
        <f aca="false">COUNTIFS('Checklist Evidencia'!$B$5:$B$30,$A41,'Checklist Evidencia'!$E$5:$E$30,"Completo")</f>
        <v>0</v>
      </c>
      <c r="C41" s="35" t="n">
        <f aca="false">COUNTIFS('Checklist Evidencia'!$B$5:$B$30,$A41,'Checklist Evidencia'!$E$5:$E$30,"En proceso")</f>
        <v>0</v>
      </c>
      <c r="D41" s="35" t="n">
        <f aca="false">COUNTIFS('Checklist Evidencia'!$B$5:$B$30,$A41,'Checklist Evidencia'!$E$5:$E$30,"Pendiente")</f>
        <v>7</v>
      </c>
      <c r="E41" s="35" t="n">
        <f aca="false">COUNTIFS('Checklist Evidencia'!$B$5:$B$30,$A41,'Checklist Evidencia'!$E$5:$E$30,"No aplica")</f>
        <v>0</v>
      </c>
      <c r="F41" s="35" t="n">
        <f aca="false">B41+C41+D41+E41</f>
        <v>7</v>
      </c>
      <c r="G41" s="35" t="str">
        <f aca="false">IFERROR(TEXT(B41/F41,"0%"),"N/D")</f>
        <v>0%</v>
      </c>
    </row>
    <row r="42" customFormat="false" ht="31.5" hidden="false" customHeight="true" outlineLevel="0" collapsed="false">
      <c r="A42" s="65" t="s">
        <v>172</v>
      </c>
      <c r="B42" s="42" t="n">
        <f aca="false">COUNTIFS('Checklist Evidencia'!$B$5:$B$30,$A42,'Checklist Evidencia'!$E$5:$E$30,"Completo")</f>
        <v>0</v>
      </c>
      <c r="C42" s="42" t="n">
        <f aca="false">COUNTIFS('Checklist Evidencia'!$B$5:$B$30,$A42,'Checklist Evidencia'!$E$5:$E$30,"En proceso")</f>
        <v>0</v>
      </c>
      <c r="D42" s="42" t="n">
        <f aca="false">COUNTIFS('Checklist Evidencia'!$B$5:$B$30,$A42,'Checklist Evidencia'!$E$5:$E$30,"Pendiente")</f>
        <v>6</v>
      </c>
      <c r="E42" s="42" t="n">
        <f aca="false">COUNTIFS('Checklist Evidencia'!$B$5:$B$30,$A42,'Checklist Evidencia'!$E$5:$E$30,"No aplica")</f>
        <v>0</v>
      </c>
      <c r="F42" s="42" t="n">
        <f aca="false">B42+C42+D42+E42</f>
        <v>6</v>
      </c>
      <c r="G42" s="42" t="str">
        <f aca="false">IFERROR(TEXT(B42/F42,"0%"),"N/D")</f>
        <v>0%</v>
      </c>
    </row>
  </sheetData>
  <mergeCells count="6">
    <mergeCell ref="A1:F1"/>
    <mergeCell ref="A2:G2"/>
    <mergeCell ref="A4:G4"/>
    <mergeCell ref="A8:G8"/>
    <mergeCell ref="A30:G30"/>
    <mergeCell ref="A37:G37"/>
  </mergeCells>
  <conditionalFormatting sqref="B6">
    <cfRule type="cellIs" priority="2" operator="greaterThan" aboveAverage="0" equalAverage="0" bottom="0" percent="0" rank="0" text="" dxfId="13">
      <formula>0</formula>
    </cfRule>
  </conditionalFormatting>
  <conditionalFormatting sqref="C6">
    <cfRule type="cellIs" priority="3" operator="greaterThan" aboveAverage="0" equalAverage="0" bottom="0" percent="0" rank="0" text="" dxfId="14">
      <formula>0</formula>
    </cfRule>
  </conditionalFormatting>
  <conditionalFormatting sqref="D6">
    <cfRule type="cellIs" priority="4" operator="greaterThan" aboveAverage="0" equalAverage="0" bottom="0" percent="0" rank="0" text="" dxfId="15">
      <formula>0</formula>
    </cfRule>
  </conditionalFormatting>
  <conditionalFormatting sqref="E6">
    <cfRule type="cellIs" priority="5" operator="greaterThan" aboveAverage="0" equalAverage="0" bottom="0" percent="0" rank="0" text="" dxfId="13">
      <formula>0</formula>
    </cfRule>
  </conditionalFormatting>
  <conditionalFormatting sqref="E10:E28">
    <cfRule type="cellIs" priority="6" operator="equal" aboveAverage="0" equalAverage="0" bottom="0" percent="0" rank="0" text="" dxfId="13">
      <formula>"Alto"</formula>
    </cfRule>
    <cfRule type="cellIs" priority="7" operator="equal" aboveAverage="0" equalAverage="0" bottom="0" percent="0" rank="0" text="" dxfId="14">
      <formula>"Medio"</formula>
    </cfRule>
    <cfRule type="cellIs" priority="8" operator="equal" aboveAverage="0" equalAverage="0" bottom="0" percent="0" rank="0" text="" dxfId="15">
      <formula>"Bajo"</formula>
    </cfRule>
  </conditionalFormatting>
  <conditionalFormatting sqref="F10:F28">
    <cfRule type="cellIs" priority="9" operator="equal" aboveAverage="0" equalAverage="0" bottom="0" percent="0" rank="0" text="" dxfId="13">
      <formula>"Atender ya"</formula>
    </cfRule>
    <cfRule type="cellIs" priority="10" operator="equal" aboveAverage="0" equalAverage="0" bottom="0" percent="0" rank="0" text="" dxfId="14">
      <formula>"En seguimiento"</formula>
    </cfRule>
    <cfRule type="cellIs" priority="11" operator="equal" aboveAverage="0" equalAverage="0" bottom="0" percent="0" rank="0" text="" dxfId="15">
      <formula>"Controlado"</formula>
    </cfRule>
  </conditionalFormatting>
  <hyperlinks>
    <hyperlink ref="G1" r:id="rId1" location="'Inicio'!A1" display="🏠 Inicio"/>
  </hyperlink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2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2"/>
    <col collapsed="false" customWidth="true" hidden="false" outlineLevel="0" max="4" min="2" style="0" width="30"/>
  </cols>
  <sheetData>
    <row r="1" customFormat="false" ht="27.75" hidden="false" customHeight="true" outlineLevel="0" collapsed="false">
      <c r="A1" s="66" t="s">
        <v>280</v>
      </c>
      <c r="B1" s="66"/>
      <c r="C1" s="66"/>
      <c r="D1" s="14" t="s">
        <v>32</v>
      </c>
    </row>
    <row r="3" customFormat="false" ht="48" hidden="false" customHeight="true" outlineLevel="0" collapsed="false">
      <c r="A3" s="46" t="s">
        <v>281</v>
      </c>
      <c r="B3" s="67" t="s">
        <v>282</v>
      </c>
      <c r="C3" s="67"/>
      <c r="D3" s="67"/>
    </row>
    <row r="5" customFormat="false" ht="48" hidden="false" customHeight="true" outlineLevel="0" collapsed="false">
      <c r="A5" s="46" t="s">
        <v>283</v>
      </c>
      <c r="B5" s="67" t="s">
        <v>284</v>
      </c>
      <c r="C5" s="67"/>
      <c r="D5" s="67"/>
    </row>
    <row r="7" customFormat="false" ht="48" hidden="false" customHeight="true" outlineLevel="0" collapsed="false">
      <c r="A7" s="46" t="s">
        <v>113</v>
      </c>
      <c r="B7" s="67" t="s">
        <v>285</v>
      </c>
      <c r="C7" s="67"/>
      <c r="D7" s="67"/>
    </row>
    <row r="9" customFormat="false" ht="48" hidden="false" customHeight="true" outlineLevel="0" collapsed="false">
      <c r="A9" s="46" t="s">
        <v>286</v>
      </c>
      <c r="B9" s="67" t="s">
        <v>287</v>
      </c>
      <c r="C9" s="67"/>
      <c r="D9" s="67"/>
    </row>
    <row r="11" customFormat="false" ht="48" hidden="false" customHeight="true" outlineLevel="0" collapsed="false">
      <c r="A11" s="46" t="s">
        <v>288</v>
      </c>
      <c r="B11" s="67" t="s">
        <v>289</v>
      </c>
      <c r="C11" s="67"/>
      <c r="D11" s="67"/>
    </row>
    <row r="13" customFormat="false" ht="48" hidden="false" customHeight="true" outlineLevel="0" collapsed="false">
      <c r="A13" s="46" t="s">
        <v>290</v>
      </c>
      <c r="B13" s="67" t="s">
        <v>291</v>
      </c>
      <c r="C13" s="67"/>
      <c r="D13" s="67"/>
    </row>
    <row r="15" customFormat="false" ht="48" hidden="false" customHeight="true" outlineLevel="0" collapsed="false">
      <c r="A15" s="46" t="s">
        <v>292</v>
      </c>
      <c r="B15" s="67" t="s">
        <v>293</v>
      </c>
      <c r="C15" s="67"/>
      <c r="D15" s="67"/>
    </row>
    <row r="17" customFormat="false" ht="48" hidden="false" customHeight="true" outlineLevel="0" collapsed="false">
      <c r="A17" s="46" t="s">
        <v>294</v>
      </c>
      <c r="B17" s="67" t="s">
        <v>295</v>
      </c>
      <c r="C17" s="67"/>
      <c r="D17" s="67"/>
    </row>
    <row r="20" customFormat="false" ht="15" hidden="false" customHeight="false" outlineLevel="0" collapsed="false">
      <c r="A20" s="51" t="s">
        <v>296</v>
      </c>
      <c r="B20" s="51"/>
      <c r="C20" s="51"/>
      <c r="D20" s="51"/>
    </row>
    <row r="21" customFormat="false" ht="15" hidden="false" customHeight="true" outlineLevel="0" collapsed="false">
      <c r="A21" s="68" t="s">
        <v>297</v>
      </c>
      <c r="B21" s="67" t="s">
        <v>298</v>
      </c>
      <c r="C21" s="67"/>
      <c r="D21" s="67"/>
    </row>
    <row r="22" customFormat="false" ht="15" hidden="false" customHeight="true" outlineLevel="0" collapsed="false">
      <c r="A22" s="68" t="s">
        <v>297</v>
      </c>
      <c r="B22" s="67" t="s">
        <v>299</v>
      </c>
      <c r="C22" s="67"/>
      <c r="D22" s="67"/>
    </row>
    <row r="23" customFormat="false" ht="15" hidden="false" customHeight="true" outlineLevel="0" collapsed="false">
      <c r="A23" s="68" t="s">
        <v>297</v>
      </c>
      <c r="B23" s="67" t="s">
        <v>300</v>
      </c>
      <c r="C23" s="67"/>
      <c r="D23" s="67"/>
    </row>
    <row r="24" customFormat="false" ht="15" hidden="false" customHeight="true" outlineLevel="0" collapsed="false">
      <c r="A24" s="68" t="s">
        <v>297</v>
      </c>
      <c r="B24" s="67" t="s">
        <v>301</v>
      </c>
      <c r="C24" s="67"/>
      <c r="D24" s="67"/>
    </row>
    <row r="25" customFormat="false" ht="15" hidden="false" customHeight="true" outlineLevel="0" collapsed="false">
      <c r="A25" s="68" t="s">
        <v>297</v>
      </c>
      <c r="B25" s="67" t="s">
        <v>302</v>
      </c>
      <c r="C25" s="67"/>
      <c r="D25" s="67"/>
    </row>
    <row r="26" customFormat="false" ht="15" hidden="false" customHeight="true" outlineLevel="0" collapsed="false">
      <c r="A26" s="68" t="s">
        <v>297</v>
      </c>
      <c r="B26" s="67" t="s">
        <v>303</v>
      </c>
      <c r="C26" s="67"/>
      <c r="D26" s="67"/>
    </row>
    <row r="27" customFormat="false" ht="15" hidden="false" customHeight="true" outlineLevel="0" collapsed="false">
      <c r="A27" s="68" t="s">
        <v>297</v>
      </c>
      <c r="B27" s="67" t="s">
        <v>304</v>
      </c>
      <c r="C27" s="67"/>
      <c r="D27" s="67"/>
    </row>
  </sheetData>
  <mergeCells count="17">
    <mergeCell ref="A1:C1"/>
    <mergeCell ref="B3:D3"/>
    <mergeCell ref="B5:D5"/>
    <mergeCell ref="B7:D7"/>
    <mergeCell ref="B9:D9"/>
    <mergeCell ref="B11:D11"/>
    <mergeCell ref="B13:D13"/>
    <mergeCell ref="B15:D15"/>
    <mergeCell ref="B17:D17"/>
    <mergeCell ref="A20:D20"/>
    <mergeCell ref="B21:D21"/>
    <mergeCell ref="B22:D22"/>
    <mergeCell ref="B23:D23"/>
    <mergeCell ref="B24:D24"/>
    <mergeCell ref="B25:D25"/>
    <mergeCell ref="B26:D26"/>
    <mergeCell ref="B27:D27"/>
  </mergeCells>
  <hyperlinks>
    <hyperlink ref="D1" r:id="rId1" location="'Inicio'!A1" display="🏠 Inicio"/>
  </hyperlink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2026-08-25T19:20:56Z</dcterms:created>
  <dc:creator>openpyxl</dc:creator>
  <dc:description/>
  <dc:language>en-US</dc:language>
  <cp:lastModifiedBy/>
  <dcterms:modified xsi:type="dcterms:W3CDTF">2026-08-25T19:20:56Z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