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_rels/sheet7.xml.rels" ContentType="application/vnd.openxmlformats-package.relationships+xml"/>
  <Override PartName="/xl/worksheets/_rels/sheet6.xml.rels" ContentType="application/vnd.openxmlformats-package.relationships+xml"/>
  <Override PartName="/xl/worksheets/_rels/sheet5.xml.rels" ContentType="application/vnd.openxmlformats-package.relationships+xml"/>
  <Override PartName="/xl/worksheets/_rels/sheet4.xml.rels" ContentType="application/vnd.openxmlformats-package.relationships+xml"/>
  <Override PartName="/xl/worksheets/_rels/sheet3.xml.rels" ContentType="application/vnd.openxmlformats-package.relationships+xml"/>
  <Override PartName="/xl/worksheets/_rels/sheet2.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Inicio" sheetId="1" state="visible" r:id="rId3"/>
    <sheet name="Guía de Uso" sheetId="2" state="visible" r:id="rId4"/>
    <sheet name="Matriz de Riesgo" sheetId="3" state="visible" r:id="rId5"/>
    <sheet name="Checklist Soporte Documental" sheetId="4" state="visible" r:id="rId6"/>
    <sheet name="Alertas" sheetId="5" state="visible" r:id="rId7"/>
    <sheet name="Resultados" sheetId="6" state="visible" r:id="rId8"/>
    <sheet name="Metodología y Fuentes" sheetId="7" state="visible" r:id="rId9"/>
  </sheets>
  <definedNames>
    <definedName function="false" hidden="true" localSheetId="3" name="_xlnm._FilterDatabase" vbProcedure="false">'Checklist Soporte Documental'!$A$4:$H$33</definedName>
    <definedName function="false" hidden="true" localSheetId="2" name="_xlnm._FilterDatabase" vbProcedure="false">'Matriz de Riesgo'!$A$4:$Q$23</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<sst xmlns="http://schemas.openxmlformats.org/spreadsheetml/2006/main" count="470" uniqueCount="308">
  <si>
    <t xml:space="preserve">MATRIZ DE RIESGO — DEFENSA LABORAL PATRONAL</t>
  </si>
  <si>
    <t xml:space="preserve">CÓMO USAR ESTA HERRAMIENTA — 3 PASOS</t>
  </si>
  <si>
    <t xml:space="preserve">1</t>
  </si>
  <si>
    <t xml:space="preserve">Captura en la Matriz — Abre "Matriz de Riesgo" y elige, para cada riesgo, la Probabilidad y el Impacto (celdas amarillas). El Nivel de Riesgo se calcula solo.</t>
  </si>
  <si>
    <t xml:space="preserve">2</t>
  </si>
  <si>
    <t xml:space="preserve">Marca el Checklist — Abre "Checklist Soporte Documental" y marca el Estatus de cada documento (celda amarilla): Completo, En proceso, Pendiente o No aplica.</t>
  </si>
  <si>
    <t xml:space="preserve">3</t>
  </si>
  <si>
    <t xml:space="preserve">Consulta Resultados — Abre "Resultados": el Riesgo Residual, la Prioridad y los indicadores se recalculan solos a partir de lo que capturaste. No necesitas escribir nada ahí.</t>
  </si>
  <si>
    <t xml:space="preserve">CÓDIGO DE COLORES</t>
  </si>
  <si>
    <t xml:space="preserve">  </t>
  </si>
  <si>
    <t xml:space="preserve">Celda amarilla</t>
  </si>
  <si>
    <t xml:space="preserve">Aquí capturas tú (Probabilidad, Impacto o Estatus). Todo lo demás se calcula solo.</t>
  </si>
  <si>
    <t xml:space="preserve">Rojo</t>
  </si>
  <si>
    <t xml:space="preserve">Riesgo o estatus Alto / Pendiente — atender de inmediato.</t>
  </si>
  <si>
    <t xml:space="preserve">Ámbar</t>
  </si>
  <si>
    <t xml:space="preserve">Riesgo o estatus Medio / En proceso — dar seguimiento.</t>
  </si>
  <si>
    <t xml:space="preserve">Verde</t>
  </si>
  <si>
    <t xml:space="preserve">Riesgo o estatus Bajo / Completo — bajo control.</t>
  </si>
  <si>
    <t xml:space="preserve">IR DIRECTAMENTE A:</t>
  </si>
  <si>
    <t xml:space="preserve">📘  Guía de Uso</t>
  </si>
  <si>
    <t xml:space="preserve">Explicación completa de la herramienta: estructura, código de colores, cálculo del riesgo y preguntas frecuentes.</t>
  </si>
  <si>
    <t xml:space="preserve">📋  Matriz de Riesgo</t>
  </si>
  <si>
    <t xml:space="preserve">Los 19 riesgos, su fundamento legal y la estrategia de defensa recomendada.</t>
  </si>
  <si>
    <t xml:space="preserve">✅  Checklist Soporte Documental</t>
  </si>
  <si>
    <t xml:space="preserve">Los documentos que sostienen la defensa frente a cada riesgo, con fecha límite opcional.</t>
  </si>
  <si>
    <t xml:space="preserve">🔔  Alertas</t>
  </si>
  <si>
    <t xml:space="preserve">Riesgos que requieren atención inmediata y documentos vencidos — se genera solo.</t>
  </si>
  <si>
    <t xml:space="preserve">📊  Resultados</t>
  </si>
  <si>
    <t xml:space="preserve">Indicadores, prioridad de atención y avance — todo calculado en automático.</t>
  </si>
  <si>
    <t xml:space="preserve">📖  Metodología y Fuentes</t>
  </si>
  <si>
    <t xml:space="preserve">Cómo se calculan los niveles de riesgo y qué normas y criterios se consultaron.</t>
  </si>
  <si>
    <t xml:space="preserve">GUÍA DE USO — MATRIZ DE RIESGO EN MATERIA DE DEFENSA LABORAL PARA PATRONES</t>
  </si>
  <si>
    <t xml:space="preserve">🏠 Inicio</t>
  </si>
  <si>
    <t xml:space="preserve">1. ESTRUCTURA DE ESTE ARCHIVO (5 HOJAS)</t>
  </si>
  <si>
    <t xml:space="preserve">Solo dos hojas requieren que el usuario escriba algo; las otras tres se calculan y muestran información automáticamente.</t>
  </si>
  <si>
    <t xml:space="preserve">Hoja</t>
  </si>
  <si>
    <t xml:space="preserve">¿Se captura ahí?</t>
  </si>
  <si>
    <t xml:space="preserve">Para qué sirve</t>
  </si>
  <si>
    <t xml:space="preserve">Inicio</t>
  </si>
  <si>
    <t xml:space="preserve">No</t>
  </si>
  <si>
    <t xml:space="preserve">Portada de navegación: guía de 3 pasos, código de colores y accesos directos a las demás hojas.</t>
  </si>
  <si>
    <t xml:space="preserve">Matriz de Riesgo</t>
  </si>
  <si>
    <t xml:space="preserve">Sí (Probabilidad e Impacto)</t>
  </si>
  <si>
    <t xml:space="preserve">Los 19 riesgos, su fundamento y la estrategia de defensa recomendada. El Nivel de Riesgo, el Riesgo Residual, la Prioridad y el Estado se calculan solos.</t>
  </si>
  <si>
    <t xml:space="preserve">Checklist Soporte Documental</t>
  </si>
  <si>
    <t xml:space="preserve">Sí (Estatus)</t>
  </si>
  <si>
    <t xml:space="preserve">Documentos vinculados a cada riesgo. Al marcar el Estatus, la Matriz recalcula el riesgo residual de ese riesgo.</t>
  </si>
  <si>
    <t xml:space="preserve">Resultados</t>
  </si>
  <si>
    <t xml:space="preserve">Tablero dinámico: indicadores generales, orden de prioridad y avance documental por bloque. Se actualiza solo.</t>
  </si>
  <si>
    <t xml:space="preserve">Metodología y Fuentes</t>
  </si>
  <si>
    <t xml:space="preserve">Explica cómo se calculan los niveles de riesgo y qué normas y criterios se consultaron.</t>
  </si>
  <si>
    <t xml:space="preserve">2. CÓDIGO DE COLORES</t>
  </si>
  <si>
    <t xml:space="preserve">Color</t>
  </si>
  <si>
    <t xml:space="preserve">Significado</t>
  </si>
  <si>
    <t xml:space="preserve">Qué indica</t>
  </si>
  <si>
    <t xml:space="preserve">Amarillo</t>
  </si>
  <si>
    <t xml:space="preserve">Celda de captura</t>
  </si>
  <si>
    <t xml:space="preserve">Aquí escribe o elige el usuario (Probabilidad, Impacto o Estatus). Todo lo demás se calcula solo.</t>
  </si>
  <si>
    <t xml:space="preserve">Alto / Pendiente / Atender ya</t>
  </si>
  <si>
    <t xml:space="preserve">Riesgo residual Alto, estatus "Pendiente" o estado "Atender ya": requiere atención inmediata.</t>
  </si>
  <si>
    <t xml:space="preserve">Medio / En proceso / En seguimiento</t>
  </si>
  <si>
    <t xml:space="preserve">Riesgo residual Medio, estatus "En proceso" o estado "En seguimiento": requiere dar seguimiento.</t>
  </si>
  <si>
    <t xml:space="preserve">Bajo / Completo / Controlado</t>
  </si>
  <si>
    <t xml:space="preserve">Riesgo residual Bajo, estatus "Completo" o estado "Controlado": bajo control.</t>
  </si>
  <si>
    <t xml:space="preserve">3. CÓMO SE CALCULA EL RIESGO</t>
  </si>
  <si>
    <t xml:space="preserve">1. Nivel de Riesgo (inherente): Probabilidad (Alta=3, Media=2, Baja=1) × Impacto (Alto=3, Medio=2, Bajo=1). ≥6 = Alto | 3-5 = Medio | ≤2 = Bajo.</t>
  </si>
  <si>
    <t xml:space="preserve">2. Documentos vinculados y completos: la Matriz cuenta, para cada riesgo, cuántos documentos del Checklist están relacionados y cuántos ya están "Completo".</t>
  </si>
  <si>
    <t xml:space="preserve">3. % de avance documental: proporción de documentos completos sobre los vinculados a ese riesgo.</t>
  </si>
  <si>
    <t xml:space="preserve">4. Riesgo Residual: reduce el Nivel de Riesgo inherente hasta en 50% conforme aumenta el % de avance documental. Sin documentos completos, el riesgo residual es igual al inherente.</t>
  </si>
  <si>
    <t xml:space="preserve">5. Prioridad y Estado de atención: la Prioridad ordena los riesgos de mayor a menor urgencia (1 = más urgente); el Estado traduce el riesgo residual en Alto="Atender ya", Medio="En seguimiento", Bajo="Controlado".</t>
  </si>
  <si>
    <t xml:space="preserve">Basta con actualizar el Estatus en el Checklist para que toda la Matriz y la hoja de Resultados se recalculen solas.</t>
  </si>
  <si>
    <t xml:space="preserve">4. OBJETIVO DE ESTA MATRIZ</t>
  </si>
  <si>
    <t xml:space="preserve">Identificar y priorizar los riesgos que enfrenta un patrón frente a la fiscalización laboral, la reforma de jornada de 40 horas, la conciliación prejudicial obligatoria y los criterios jurisprudenciales recientes, y sostener la estrategia de defensa con evidencia documental verificable.</t>
  </si>
  <si>
    <t xml:space="preserve">5. BLOQUES DE RIESGO</t>
  </si>
  <si>
    <t xml:space="preserve">Bloque</t>
  </si>
  <si>
    <t xml:space="preserve">Contenido</t>
  </si>
  <si>
    <t xml:space="preserve">A</t>
  </si>
  <si>
    <t xml:space="preserve">Fiscalización e inspección laboral (STPS): nuevo modelo de inspección, SIDIL, SIQAL y criterios sancionadores.</t>
  </si>
  <si>
    <t xml:space="preserve">B</t>
  </si>
  <si>
    <t xml:space="preserve">Reforma de jornada laboral (48 → 40 horas): registro electrónico de jornada, topes de horas extra, Ley Silla, desconexión digital, transparencia salarial y sello de cumplimiento STPS.</t>
  </si>
  <si>
    <t xml:space="preserve">C</t>
  </si>
  <si>
    <t xml:space="preserve">Justicia laboral, conciliación y criterios jurisprudenciales: conciliación prejudicial ante el CFCRL y criterios recientes de la SCJN.</t>
  </si>
  <si>
    <t xml:space="preserve">D</t>
  </si>
  <si>
    <t xml:space="preserve">Subcontratación (REPSE) y Normas Oficiales Mexicanas: fiscalización de servicios especializados, NOM-035, NOM-037 y conciliación CFDI-nómina-IMSS.</t>
  </si>
  <si>
    <t xml:space="preserve">6. PASOS DE USO</t>
  </si>
  <si>
    <t xml:space="preserve">1. Abre "Matriz de Riesgo": para cada riesgo, elige Probabilidad e Impacto (celdas amarillas E:F). El Nivel de Riesgo se calcula solo.</t>
  </si>
  <si>
    <t xml:space="preserve">2. Abre "Checklist Soporte Documental": marca el Estatus (celda amarilla, columna E) de cada documento. Usa Observaciones para detalles relevantes.</t>
  </si>
  <si>
    <t xml:space="preserve">3. Abre "Resultados": consulta indicadores, prioridad de atención y avance documental — no necesitas escribir nada ahí.</t>
  </si>
  <si>
    <t xml:space="preserve">7. RECOMENDACIONES DE USO</t>
  </si>
  <si>
    <t xml:space="preserve">• Asigna un expediente por cliente: guarda una copia del archivo por cada patrón atendido, ya que Probabilidad, Impacto y Estatus documental son distintos en cada caso.</t>
  </si>
  <si>
    <t xml:space="preserve">• Actualiza el Checklist conforme se reciban documentos del cliente; no esperes a tener el expediente completo para empezar a capturar.</t>
  </si>
  <si>
    <t xml:space="preserve">• Revisa "Metodología y Fuentes" antes de presentar la Matriz a un cliente, y confirma la vigencia de las disposiciones en implementación escalonada (jornada de 40 horas, registro electrónico, sello de cumplimiento STPS).</t>
  </si>
  <si>
    <t xml:space="preserve">8. PREGUNTAS FRECUENTES</t>
  </si>
  <si>
    <t xml:space="preserve">¿Qué pasa si cambio la Probabilidad o el Impacto de un riesgo?</t>
  </si>
  <si>
    <t xml:space="preserve">El Nivel de Riesgo, el Riesgo Residual, la Prioridad y el Estado de ese renglón se recalculan de inmediato, y los indicadores de "Resultados" también se actualizan.</t>
  </si>
  <si>
    <t xml:space="preserve">¿Qué significa "N/D" en % Avance documental?</t>
  </si>
  <si>
    <t xml:space="preserve">Ese riesgo no tiene ningún documento del Checklist vinculado en "Relacionado con"; el Riesgo Residual se mantiene igual al Nivel de Riesgo inherente.</t>
  </si>
  <si>
    <t xml:space="preserve">¿Puedo agregar más riesgos o documentos?</t>
  </si>
  <si>
    <t xml:space="preserve">Sí, pero al usar fórmulas con referencias de fila, cualquier fila nueva debe agregarse o revisarse por quien administra el archivo, para conservar la vinculación entre hojas.</t>
  </si>
  <si>
    <t xml:space="preserve">¿Necesito escribir algo en "Resultados"?</t>
  </si>
  <si>
    <t xml:space="preserve">No. Esa hoja se alimenta por completo de la Matriz y el Checklist; no tiene celdas de captura.</t>
  </si>
  <si>
    <t xml:space="preserve">9. BUENAS PRÁCTICAS DE MANTENIMIENTO</t>
  </si>
  <si>
    <t xml:space="preserve">• Conserva una copia maestra sin capturar (en blanco) y trabaja siempre sobre una copia por cliente.</t>
  </si>
  <si>
    <t xml:space="preserve">• No elimines ni reordenes las columnas L a R de "Matriz de Riesgo" (algunas ocultas): ahí viven las fórmulas que vinculan la Matriz con el Checklist.</t>
  </si>
  <si>
    <t xml:space="preserve">• Si un riesgo deja de aplicar, usa "No aplica" en los documentos correspondientes en vez de eliminar filas, para no romper las referencias.</t>
  </si>
  <si>
    <t xml:space="preserve">• Actualiza "Metodología y Fuentes" cuando cambie una disposición o criterio citado, para que la Matriz se mantenga vigente.</t>
  </si>
  <si>
    <t xml:space="preserve">MATRIZ DE RIESGO EN MATERIA DE DEFENSA LABORAL PARA PATRONES</t>
  </si>
  <si>
    <t xml:space="preserve">Actualización: agosto 2026  —  Solo captura Probabilidad e Impacto (celdas amarillas E:F); el Nivel de Riesgo, el Riesgo Residual y la Prioridad se calculan solos</t>
  </si>
  <si>
    <t xml:space="preserve">No.</t>
  </si>
  <si>
    <t xml:space="preserve">Área / Tema</t>
  </si>
  <si>
    <t xml:space="preserve">Riesgo específico para el patrón</t>
  </si>
  <si>
    <t xml:space="preserve">Fundamento / Criterio nuevo (norma, autoridad, fecha)</t>
  </si>
  <si>
    <t xml:space="preserve">Probabilidad</t>
  </si>
  <si>
    <t xml:space="preserve">Impacto</t>
  </si>
  <si>
    <t xml:space="preserve">Nivel de Riesgo</t>
  </si>
  <si>
    <t xml:space="preserve">Estrategia de defensa / mitigación recomendada</t>
  </si>
  <si>
    <t xml:space="preserve">Ptn.Prob</t>
  </si>
  <si>
    <t xml:space="preserve">Ptn.Imp</t>
  </si>
  <si>
    <t xml:space="preserve">Docs.
vinculados</t>
  </si>
  <si>
    <t xml:space="preserve">Docs.
completos</t>
  </si>
  <si>
    <t xml:space="preserve">% Avance
documental</t>
  </si>
  <si>
    <t xml:space="preserve">Riesgo
Residual</t>
  </si>
  <si>
    <t xml:space="preserve">Prioridad</t>
  </si>
  <si>
    <t xml:space="preserve">Estado de
atención</t>
  </si>
  <si>
    <t xml:space="preserve">A. Fiscalización e inspección laboral (STPS)</t>
  </si>
  <si>
    <t xml:space="preserve">Nuevo Modelo de Inspección Laboral STPS 2026: la autoridad amplía la verificación de la realidad operativa del centro de trabajo (no solo documental) y cruza información entre nómina, contratos, IMSS y CFDI.</t>
  </si>
  <si>
    <t xml:space="preserve">Nuevo Modelo de Inspección Laboral STPS, en operación 2026 (documento de 19 páginas: criterios, procedimientos y puntos de verificación)</t>
  </si>
  <si>
    <t xml:space="preserve">Alta</t>
  </si>
  <si>
    <t xml:space="preserve">Alto</t>
  </si>
  <si>
    <t xml:space="preserve">Auditoría preventiva de contratos, altas IMSS, nómina y CFDI antes de la visita; expediente único por trabajador; protocolo interno de atención a la diligencia con abogado presente.</t>
  </si>
  <si>
    <t xml:space="preserve">Sistema SIDIL: detección automatizada de patrones con registro patronal activo pero sin constancias de capacitación registradas en SIRCE (DC-2/DC-3).</t>
  </si>
  <si>
    <t xml:space="preserve">Sistema SIDIL / SIRCE, STPS, vigente 2026</t>
  </si>
  <si>
    <t xml:space="preserve">Medio</t>
  </si>
  <si>
    <t xml:space="preserve">Actualización y registro oportuno de planes y programas de capacitación; verificación periódica del estatus del registro patronal en SIRCE.</t>
  </si>
  <si>
    <t xml:space="preserve">SIQAL: incremento superior al 400% en denuncias por vía digital respecto del canal tradicional, lo que detona visitas extraordinarias con mayor frecuencia.</t>
  </si>
  <si>
    <t xml:space="preserve">Sistema Integral de Quejas y Atención Laboral (SIQAL), STPS, primer trimestre 2026: 25,204 registros</t>
  </si>
  <si>
    <t xml:space="preserve">Canal interno de quejas y buzón de denuncia previo a la vía externa; política de atención inmediata a inconformidades; documentación de la respuesta patronal a cada reporte.</t>
  </si>
  <si>
    <t xml:space="preserve">Fiscalización focalizada y reforzada en sectores de riesgo operativo: construcción, transporte, manufactura, hidrocarburos y servicios especializados (REPSE).</t>
  </si>
  <si>
    <t xml:space="preserve">Tendencias de fiscalización STPS 2025-2026 por sector de alta exposición laboral</t>
  </si>
  <si>
    <t xml:space="preserve">Diagnóstico sectorial de exposición; refuerzo documental específico en seguridad e higiene y subcontratación cuando el cliente opere en estos giros.</t>
  </si>
  <si>
    <t xml:space="preserve">Endurecimiento de criterios sancionadores: la autoridad valora intencionalidad, gravedad, daño potencial, capacidad económica y reincidencia; multas de 50 a 1,500 UMA.</t>
  </si>
  <si>
    <t xml:space="preserve">LFT y criterios de individualización de sanciones STPS 2026; valor UMA 2026: $108.57 diarios</t>
  </si>
  <si>
    <t xml:space="preserve">Media</t>
  </si>
  <si>
    <t xml:space="preserve">Historial de cumplimiento documentado como atenuante; escrito de aclaración/desvirtuación de hechos en cada acta; valoración de impugnación (recurso de revisión / juicio de nulidad) según proporcionalidad de la multa.</t>
  </si>
  <si>
    <t xml:space="preserve">B. Reforma de jornada laboral (48 → 40 horas)</t>
  </si>
  <si>
    <t xml:space="preserve">Reducción escalonada de la jornada máxima de 48 a 40 horas semanales (2026-2030), sin que pueda implicar disminución de salario ni de prestaciones; obliga a rediseñar turnos y esquemas de productividad.</t>
  </si>
  <si>
    <t xml:space="preserve">Decreto de reforma constitucional (DOF 3-mar-2026) y reforma a la LFT promulgada 1-may-2026</t>
  </si>
  <si>
    <t xml:space="preserve">Plan de transición de jornada por centro de trabajo; recálculo de integración salarial y costos de nómina; actualización de reglamento interior de trabajo y contratos colectivos/individuales.</t>
  </si>
  <si>
    <t xml:space="preserve">Obligación de registro electrónico de la jornada de cada trabajador (entrada y salida), con conservación de la información y disponibilidad para la autoridad.</t>
  </si>
  <si>
    <t xml:space="preserve">Art. 132, fracción XXXIV, LFT (vigencia prevista 2027, dentro del calendario de la reforma de mayo 2026)</t>
  </si>
  <si>
    <t xml:space="preserve">Implementación anticipada de sistema de control de asistencia auditable; política de resguardo de registros por al menos los plazos de prescripción laboral; validación de coherencia entre reloj checador, nómina y CFDI.</t>
  </si>
  <si>
    <t xml:space="preserve">Nuevo tope de horas extraordinarias (9 h/semana en 2026, escalando a 12 h en 2030) con sanción salarial del 200% sobre el excedente; jornada total no puede superar 12 horas diarias.</t>
  </si>
  <si>
    <t xml:space="preserve">Reforma a la LFT en materia de jornada laboral, DOF mayo 2026</t>
  </si>
  <si>
    <t xml:space="preserve">Control de topes de tiempo extra por sistema; autorización previa y documentada de horas extraordinarias; contingente de pasivo laboral estimado para descubrir tiempo extra no reconocido.</t>
  </si>
  <si>
    <t xml:space="preserve">"Ley Silla": obligación de proporcionar asientos con respaldo y permitir descanso periódico cuando la naturaleza de las funciones lo permita.</t>
  </si>
  <si>
    <t xml:space="preserve">Reforma a la LFT 2026 (Ley Silla)</t>
  </si>
  <si>
    <t xml:space="preserve">Revisión de puestos de pie prolongado; adecuación de mobiliario; política escrita de pausas y asientos disponibles.</t>
  </si>
  <si>
    <t xml:space="preserve">Desconexión digital: prohibición de sancionar o tomar represalias contra el trabajador que no responda comunicaciones fuera de su jornada.</t>
  </si>
  <si>
    <t xml:space="preserve">Reforma a la LFT 2026, derecho a la desconexión digital</t>
  </si>
  <si>
    <t xml:space="preserve">Política interna de comunicación fuera de jornada; capacitación a mandos medios; cláusula en reglamento interior que delimite disponibilidad.</t>
  </si>
  <si>
    <t xml:space="preserve">Transparencia salarial: prohibición de ofertas de empleo con sueldo oculto (debe mostrarse salario neto y prestaciones) y prohibición de reducir unilateralmente el salario pactado.</t>
  </si>
  <si>
    <t xml:space="preserve">Reforma a la LFT 2026, transparencia en ofertas laborales y contratos</t>
  </si>
  <si>
    <t xml:space="preserve">Revisión de plantillas de vacantes y avisos de empleo; control de cambios salariales siempre por convenio bilateral documentado (Art. 33 LFT).</t>
  </si>
  <si>
    <t xml:space="preserve">Sello de cumplimiento STPS: certificado que acredita el cumplimiento integral de obligaciones patronales, relevante para licitaciones y cadenas de suministro.</t>
  </si>
  <si>
    <t xml:space="preserve">Reforma a la LFT 2026, esquema de certificación STPS</t>
  </si>
  <si>
    <t xml:space="preserve">Autodiagnóstico de cumplimiento previo a la solicitud del sello; expediente patronal consolidado como respaldo para la certificación.</t>
  </si>
  <si>
    <t xml:space="preserve">C. Justicia laboral, conciliación y criterios jurisprudenciales</t>
  </si>
  <si>
    <t xml:space="preserve">Conciliación prejudicial obligatoria ante el Centro Federal de Conciliación y Registro Laboral (CFCRL) o los centros estatales, previa a cualquier juicio, con duración de hasta 45 días naturales.</t>
  </si>
  <si>
    <t xml:space="preserve">Ley Orgánica del CFCRL y LFT; Programa Institucional del CFCRL 2026-2030</t>
  </si>
  <si>
    <t xml:space="preserve">Protocolo de comparecencia y negociación en la etapa conciliatoria; valuación temprana del asunto (probabilidad de éxito y costo) para decidir conciliar o judicializar; representación legal desde la primera cita.</t>
  </si>
  <si>
    <t xml:space="preserve">Criterio del Pleno de la SCJN sobre competencia territorial en amparo directo: se determina conforme al domicilio de la junta de conciliación y arbitraje que emitió el laudo, aun si esta fue sustituida o desaparecida.</t>
  </si>
  <si>
    <t xml:space="preserve">Contradicción de Criterios 45/2026, Pleno SCJN, resuelta el 21 de mayo de 2026</t>
  </si>
  <si>
    <t xml:space="preserve">Verificación de la sede original de la junta emisora del laudo antes de promover o contestar amparo; ajuste de estrategia procesal en asuntos remanentes del sistema de juntas.</t>
  </si>
  <si>
    <t xml:space="preserve">Criterio de la SCJN que flexibiliza los requisitos formales de la prueba de inspección bajo el principio de sencillez procesal, limitando defensas basadas en tecnicismos de redacción del oferente.</t>
  </si>
  <si>
    <t xml:space="preserve">Contradicción de criterios resuelta por el Pleno de la SCJN, sesión del 19 de marzo de 2026</t>
  </si>
  <si>
    <t xml:space="preserve">Sustento de la defensa en el fondo (existencia y contenido de la relación laboral) más que en objeciones formales a la prueba; refuerzo del acervo documental sustantivo del patrón (contratos, nómina, expedientes).</t>
  </si>
  <si>
    <t xml:space="preserve">Reforzamiento del principio de primacía de la realidad en criterios recientes de la SCJN: prevalece la relación de hecho sobre la forma documental en la calificación de la relación laboral y de beneficiarios.</t>
  </si>
  <si>
    <t xml:space="preserve">Criterios de la SCJN 2025-2026 sobre primacía de la realidad en materia de trabajo</t>
  </si>
  <si>
    <t xml:space="preserve">Revisión de esquemas de honorarios, asimilados a salarios y subcontratación para que la operación real sea consistente con la instrumentación jurídica; corrección de esquemas con riesgo de recalificación.</t>
  </si>
  <si>
    <t xml:space="preserve">D. Subcontratación (REPSE) y Normas Oficiales Mexicanas</t>
  </si>
  <si>
    <t xml:space="preserve">Fiscalización reforzada de Servicios Especializados: verificación cruzada de REPSE, ICSOE y SISUB contra la operación real del centro de trabajo, con riesgo de recalificación como relación laboral directa y responsabilidad solidaria.</t>
  </si>
  <si>
    <t xml:space="preserve">Reforma en materia de subcontratación (LFT, LSS, LISR, LIVA) y estrategia de fiscalización masiva STPS 2025-2026</t>
  </si>
  <si>
    <t xml:space="preserve">Auditoría de especialidad del servicio subcontratado frente al objeto social del contratante; actualización trimestral de registros REPSE/ICSOE/SISUB; blindaje contractual de la naturaleza especializada del servicio.</t>
  </si>
  <si>
    <t xml:space="preserve">Cumplimiento documental insuficiente en NOM-035 (riesgo psicosocial) y NOM-037 (teletrabajo/home office): falta de diagnóstico, políticas escritas y evidencia de gastos de conectividad y condiciones ergonómicas.</t>
  </si>
  <si>
    <t xml:space="preserve">NOM-035-STPS-2018 y NOM-037-STPS-2023</t>
  </si>
  <si>
    <t xml:space="preserve">Aplicación y resguardo de cuestionarios de factores de riesgo psicosocial; política de teletrabajo con reconocimiento de gastos; evidencia de capacitación y seguimiento.</t>
  </si>
  <si>
    <t xml:space="preserve">Discrepancias entre CFDI de nómina, registro interno de nómina y salario base de cotización ante el IMSS, detectables mediante cruces algorítmicos de la autoridad; riesgo adicional por el plazo de pago de PTU 2025 (mayo 2026 para personas morales).</t>
  </si>
  <si>
    <t xml:space="preserve">Modelo de Inspección STPS 2026 (cruce de bases de datos); LFT en materia de PTU</t>
  </si>
  <si>
    <t xml:space="preserve">Conciliación mensual CFDI-nómina-IMSS; validación de que el SBC coincida con las percepciones reales; verificación del cálculo y pago oportuno de PTU con evidencia documental.</t>
  </si>
  <si>
    <t xml:space="preserve">CHECKLIST DE SOPORTE DOCUMENTAL PARA DEFENSA LABORAL PATRONAL</t>
  </si>
  <si>
    <t xml:space="preserve">Documentación mínima recomendada para acreditar cumplimiento y sostener la estrategia de defensa frente a cada bloque de riesgo de la Matriz. Solo marca el Estatus y, si aplica, la Fecha límite (celdas amarillas); la Matriz de Riesgo y la hoja de Alertas se actualizan solas.</t>
  </si>
  <si>
    <t xml:space="preserve">Documento o soporte requerido</t>
  </si>
  <si>
    <t xml:space="preserve">Relacionado con (riesgo No.)</t>
  </si>
  <si>
    <t xml:space="preserve">Estatus</t>
  </si>
  <si>
    <t xml:space="preserve">Observaciones</t>
  </si>
  <si>
    <t xml:space="preserve">Fecha límite</t>
  </si>
  <si>
    <t xml:space="preserve">Vencido</t>
  </si>
  <si>
    <t xml:space="preserve">Contratos individuales de trabajo vigentes, firmados y con elementos del Art. 25 LFT</t>
  </si>
  <si>
    <t xml:space="preserve">Pendiente</t>
  </si>
  <si>
    <t xml:space="preserve">Altas, modificaciones y bajas ante el IMSS con salario base de cotización correcto</t>
  </si>
  <si>
    <t xml:space="preserve">1,19</t>
  </si>
  <si>
    <t xml:space="preserve">CFDI de nómina timbrados y conciliados contra la nómina interna</t>
  </si>
  <si>
    <t xml:space="preserve">Sistema de control de asistencia / registro de jornada de los últimos 12 meses</t>
  </si>
  <si>
    <t xml:space="preserve">1,7</t>
  </si>
  <si>
    <t xml:space="preserve">Constancias DC-3 y planes y programas de capacitación registrados en SIRCE</t>
  </si>
  <si>
    <t xml:space="preserve">Reglamento interior de trabajo vigente y registrado ante el CFCRL</t>
  </si>
  <si>
    <t xml:space="preserve">6,9,10</t>
  </si>
  <si>
    <t xml:space="preserve">Expediente de la comisión mixta de seguridad e higiene</t>
  </si>
  <si>
    <t xml:space="preserve">4</t>
  </si>
  <si>
    <t xml:space="preserve">Bitácora de atención a quejas y denuncias (SIQAL y canal interno)</t>
  </si>
  <si>
    <t xml:space="preserve">Evidencia de cálculo y pago oportuno de PTU del ejercicio inmediato anterior</t>
  </si>
  <si>
    <t xml:space="preserve">19</t>
  </si>
  <si>
    <t xml:space="preserve">Acta constitutiva, poder notarial y designación de representante para atención de visitas</t>
  </si>
  <si>
    <t xml:space="preserve">1,5</t>
  </si>
  <si>
    <t xml:space="preserve">Plan de transición de jornada por centro de trabajo (calendario 2026-2030)</t>
  </si>
  <si>
    <t xml:space="preserve">6</t>
  </si>
  <si>
    <t xml:space="preserve">Sistema de registro electrónico de entrada y salida por trabajador</t>
  </si>
  <si>
    <t xml:space="preserve">7</t>
  </si>
  <si>
    <t xml:space="preserve">Política y bitácora de autorización previa de horas extraordinarias</t>
  </si>
  <si>
    <t xml:space="preserve">8</t>
  </si>
  <si>
    <t xml:space="preserve">Política escrita de "Ley Silla" (mobiliario y pausas)</t>
  </si>
  <si>
    <t xml:space="preserve">9</t>
  </si>
  <si>
    <t xml:space="preserve">Política de desconexión digital y evidencia de capacitación a mandos medios</t>
  </si>
  <si>
    <t xml:space="preserve">10</t>
  </si>
  <si>
    <t xml:space="preserve">Plantillas de vacantes con salario neto y prestaciones visibles</t>
  </si>
  <si>
    <t xml:space="preserve">11</t>
  </si>
  <si>
    <t xml:space="preserve">Convenios bilaterales de modificación salarial (Art. 33 LFT)</t>
  </si>
  <si>
    <t xml:space="preserve">Autodiagnóstico documental para solicitud del sello de cumplimiento STPS</t>
  </si>
  <si>
    <t xml:space="preserve">12</t>
  </si>
  <si>
    <t xml:space="preserve">Expediente de conciliación prejudicial (citatorios, actas, convenios)</t>
  </si>
  <si>
    <t xml:space="preserve">13</t>
  </si>
  <si>
    <t xml:space="preserve">Poder notarial vigente para representación ante CFCRL y tribunales laborales</t>
  </si>
  <si>
    <t xml:space="preserve">Acervo probatorio sustantivo (contratos, nómina, expedientes) para defensa en el fondo</t>
  </si>
  <si>
    <t xml:space="preserve">15</t>
  </si>
  <si>
    <t xml:space="preserve">Identificación de domicilio/sede de la junta emisora del laudo en asuntos remanentes</t>
  </si>
  <si>
    <t xml:space="preserve">14</t>
  </si>
  <si>
    <t xml:space="preserve">Revisión de consistencia entre esquemas de honorarios/asimilados y la operación real</t>
  </si>
  <si>
    <t xml:space="preserve">16</t>
  </si>
  <si>
    <t xml:space="preserve">Registro REPSE vigente y actualizado</t>
  </si>
  <si>
    <t xml:space="preserve">17</t>
  </si>
  <si>
    <t xml:space="preserve">Reportes trimestrales ICSOE / SISUB presentados en tiempo</t>
  </si>
  <si>
    <t xml:space="preserve">Contratos de prestación de servicios especializados con objeto delimitado y distinto al giro del contratante</t>
  </si>
  <si>
    <t xml:space="preserve">Diagnóstico y cuestionarios aplicados de la NOM-035 (factores de riesgo psicosocial)</t>
  </si>
  <si>
    <t xml:space="preserve">18</t>
  </si>
  <si>
    <t xml:space="preserve">Política de teletrabajo NOM-037 con reconocimiento de gastos y evidencia ergonómica</t>
  </si>
  <si>
    <t xml:space="preserve">Conciliación mensual CFDI de nómina, nómina interna y salario base de cotización IMSS</t>
  </si>
  <si>
    <t xml:space="preserve">Avance del checklist:</t>
  </si>
  <si>
    <t xml:space="preserve">Documentos vencidos:</t>
  </si>
  <si>
    <t xml:space="preserve">🔔 ALERTAS — RIESGOS Y DOCUMENTOS QUE REQUIEREN ATENCIÓN</t>
  </si>
  <si>
    <t xml:space="preserve">Se genera sola a partir de la Matriz y del Checklist. No requiere captura en esta hoja.</t>
  </si>
  <si>
    <t xml:space="preserve">RIESGOS QUE REQUIEREN ATENCIÓN INMEDIATA (Estado = "Atender ya")</t>
  </si>
  <si>
    <t xml:space="preserve">Riesgo No.</t>
  </si>
  <si>
    <t xml:space="preserve">Área</t>
  </si>
  <si>
    <t xml:space="preserve">Riesgo</t>
  </si>
  <si>
    <t xml:space="preserve">Riesgo Residual</t>
  </si>
  <si>
    <t xml:space="preserve">Estrategia recomendada</t>
  </si>
  <si>
    <t xml:space="preserve">DOCUMENTOS VENCIDOS (Fecha límite superada y no completados)</t>
  </si>
  <si>
    <t xml:space="preserve">Documento</t>
  </si>
  <si>
    <t xml:space="preserve">Relacionado con</t>
  </si>
  <si>
    <t xml:space="preserve">Días de atraso</t>
  </si>
  <si>
    <t xml:space="preserve">RESULTADOS — TABLERO DINÁMICO DE LA MATRIZ</t>
  </si>
  <si>
    <t xml:space="preserve">Se actualiza automáticamente conforme se captura Probabilidad/Impacto en la Matriz de Riesgo y el Estatus en el Checklist de Soporte Documental. No requiere captura en esta hoja.</t>
  </si>
  <si>
    <t xml:space="preserve">1. INDICADORES GENERALES</t>
  </si>
  <si>
    <t xml:space="preserve">Riesgos identificados</t>
  </si>
  <si>
    <t xml:space="preserve">Riesgo residual Alto</t>
  </si>
  <si>
    <t xml:space="preserve">Riesgo residual Medio</t>
  </si>
  <si>
    <t xml:space="preserve">Riesgo residual Bajo</t>
  </si>
  <si>
    <t xml:space="preserve">A atender ya</t>
  </si>
  <si>
    <t xml:space="preserve">Avance documental prom.</t>
  </si>
  <si>
    <t xml:space="preserve">Documentos completos</t>
  </si>
  <si>
    <t xml:space="preserve">2. ORDEN DE PRIORIDAD DE ATENCIÓN</t>
  </si>
  <si>
    <t xml:space="preserve">Estado</t>
  </si>
  <si>
    <t xml:space="preserve">% Avance</t>
  </si>
  <si>
    <t xml:space="preserve">3. RIESGO RESIDUAL POR ÁREA</t>
  </si>
  <si>
    <t xml:space="preserve">Bajo</t>
  </si>
  <si>
    <t xml:space="preserve">Total</t>
  </si>
  <si>
    <t xml:space="preserve">% Avance doc.</t>
  </si>
  <si>
    <t xml:space="preserve">4. AVANCE DEL CHECKLIST POR ÁREA</t>
  </si>
  <si>
    <t xml:space="preserve">Completo</t>
  </si>
  <si>
    <t xml:space="preserve">En proceso</t>
  </si>
  <si>
    <t xml:space="preserve">No aplica</t>
  </si>
  <si>
    <t xml:space="preserve">% Completo</t>
  </si>
  <si>
    <t xml:space="preserve">METODOLOGÍA Y FUENTES</t>
  </si>
  <si>
    <t xml:space="preserve">Escala de Probabilidad</t>
  </si>
  <si>
    <t xml:space="preserve">Alta = 3 pts. | Media = 2 pts. | Baja = 1 pt. Refleja la frecuencia observada de fiscalización, litigio o exigencia de cumplimiento sobre el criterio o disposición correspondiente.</t>
  </si>
  <si>
    <t xml:space="preserve">Escala de Impacto</t>
  </si>
  <si>
    <t xml:space="preserve">Alto = 3 pts. | Medio = 2 pts. | Bajo = 1 pt. Refleja la severidad económica, operativa o reputacional para el patrón en caso de materializarse el riesgo.</t>
  </si>
  <si>
    <t xml:space="preserve">Producto Probabilidad × Impacto. ≥ 6 = Alto (rojo) | 3 a 5 = Medio (ámbar) | ≤ 2 = Bajo (verde). Calculado automáticamente en la columna G de la Matriz.</t>
  </si>
  <si>
    <t xml:space="preserve">Naturaleza del documento</t>
  </si>
  <si>
    <t xml:space="preserve">Herramienta de trabajo interna para la priorización de estrategias de defensa y cumplimiento laboral patronal. No constituye opinión legal definitiva ni sustituye el análisis del caso concreto.</t>
  </si>
  <si>
    <t xml:space="preserve">Riesgo Residual (ejecutable)</t>
  </si>
  <si>
    <t xml:space="preserve">Columna O de la Matriz. Se recalcula en vivo: toma el Nivel de Riesgo inherente (columna G) y lo reduce hasta un 50% en función del % de avance documental del Checklist vinculado a ese riesgo (columna N). A mayor soporte documental completo, menor riesgo residual.</t>
  </si>
  <si>
    <t xml:space="preserve">Prioridad y Estado de atención</t>
  </si>
  <si>
    <t xml:space="preserve">Columnas P y Q de la Matriz. La Prioridad (1 = más urgente) se calcula por el puntaje de riesgo residual de cada fila. El Estado de atención traduce el Riesgo Residual a una instrucción operativa: Alto = "Atender ya", Medio = "En seguimiento", Bajo = "Controlado".</t>
  </si>
  <si>
    <t xml:space="preserve">Vínculo con el Checklist</t>
  </si>
  <si>
    <t xml:space="preserve">Las columnas L (documentos vinculados) y M (documentos completos) cuentan automáticamente, para cada riesgo, los renglones de la hoja "Checklist Soporte Documental" cuya columna "Relacionado con" contiene ese número de riesgo. Basta actualizar el Estatus en el Checklist para que la Matriz recalcule el riesgo residual.</t>
  </si>
  <si>
    <t xml:space="preserve">Corte informativo</t>
  </si>
  <si>
    <t xml:space="preserve">Agosto 2026. Varias disposiciones (jornada de 40 horas, registro electrónico de jornada, Ley Silla, desconexión digital, sello de cumplimiento STPS) se encuentran en implementación escalonada hasta 2030; se recomienda verificar vigencia específica antes de cada uso.</t>
  </si>
  <si>
    <t xml:space="preserve">Fuentes principales consultadas</t>
  </si>
  <si>
    <t xml:space="preserve">•</t>
  </si>
  <si>
    <t xml:space="preserve">Secretaría del Trabajo y Previsión Social (STPS) — Nuevo Modelo de Inspección Laboral 2026</t>
  </si>
  <si>
    <t xml:space="preserve">Decreto de reforma constitucional en materia de reducción de la jornada laboral, DOF 3 de marzo de 2026</t>
  </si>
  <si>
    <t xml:space="preserve">Reforma a la Ley Federal del Trabajo en materia de jornada laboral, promulgada el 1 de mayo de 2026</t>
  </si>
  <si>
    <t xml:space="preserve">Suprema Corte de Justicia de la Nación — Contradicción de Criterios 45/2026 (Pleno, 21 de mayo de 2026)</t>
  </si>
  <si>
    <t xml:space="preserve">Suprema Corte de Justicia de la Nación — resolución del Pleno sobre prueba de inspección, sesión del 19 de marzo de 2026</t>
  </si>
  <si>
    <t xml:space="preserve">Centro Federal de Conciliación y Registro Laboral — Programa Institucional 2026-2030 y Ley Orgánica del CFCRL</t>
  </si>
  <si>
    <t xml:space="preserve">NOM-035-STPS-2018 (factores de riesgo psicosocial) y NOM-037-STPS-2023 (teletrabajo)</t>
  </si>
  <si>
    <t xml:space="preserve">Marco de subcontratación de servicios especializados: REPSE, ICSOE y SISUB</t>
  </si>
</sst>
</file>

<file path=xl/styles.xml><?xml version="1.0" encoding="utf-8"?>
<styleSheet xmlns="http://schemas.openxmlformats.org/spreadsheetml/2006/main">
  <numFmts count="4">
    <numFmt numFmtId="164" formatCode="General"/>
    <numFmt numFmtId="165" formatCode="General"/>
    <numFmt numFmtId="166" formatCode="0%"/>
    <numFmt numFmtId="167" formatCode="dd/mm/yyyy"/>
  </numFmts>
  <fonts count="26">
    <font>
      <sz val="11"/>
      <color theme="1"/>
      <name val="Calibri"/>
      <family val="2"/>
      <charset val="1"/>
    </font>
    <font>
      <sz val="10"/>
      <name val="Arial"/>
      <family val="0"/>
    </font>
    <font>
      <sz val="10"/>
      <name val="Arial"/>
      <family val="0"/>
    </font>
    <font>
      <sz val="10"/>
      <name val="Arial"/>
      <family val="0"/>
    </font>
    <font>
      <b val="true"/>
      <sz val="20"/>
      <color rgb="FFFFFFFF"/>
      <name val="Calibri"/>
      <family val="0"/>
      <charset val="1"/>
    </font>
    <font>
      <b val="true"/>
      <sz val="12"/>
      <color rgb="FFFFFFFF"/>
      <name val="Calibri"/>
      <family val="0"/>
      <charset val="1"/>
    </font>
    <font>
      <b val="true"/>
      <sz val="18"/>
      <color rgb="FFFFFFFF"/>
      <name val="Calibri"/>
      <family val="0"/>
      <charset val="1"/>
    </font>
    <font>
      <sz val="10.5"/>
      <color rgb="FF222222"/>
      <name val="Calibri"/>
      <family val="0"/>
      <charset val="1"/>
    </font>
    <font>
      <b val="true"/>
      <sz val="10"/>
      <color rgb="FF222222"/>
      <name val="Calibri"/>
      <family val="0"/>
      <charset val="1"/>
    </font>
    <font>
      <sz val="10"/>
      <color rgb="FF222222"/>
      <name val="Calibri"/>
      <family val="0"/>
      <charset val="1"/>
    </font>
    <font>
      <b val="true"/>
      <u val="single"/>
      <sz val="11"/>
      <color rgb="FFFFFFFF"/>
      <name val="Calibri"/>
      <family val="0"/>
      <charset val="1"/>
    </font>
    <font>
      <i val="true"/>
      <sz val="10"/>
      <color rgb="FF222222"/>
      <name val="Calibri"/>
      <family val="0"/>
      <charset val="1"/>
    </font>
    <font>
      <b val="true"/>
      <sz val="15"/>
      <color rgb="FFFFFFFF"/>
      <name val="Calibri"/>
      <family val="0"/>
      <charset val="1"/>
    </font>
    <font>
      <b val="true"/>
      <u val="single"/>
      <sz val="10.5"/>
      <color rgb="FFFFFFFF"/>
      <name val="Calibri"/>
      <family val="0"/>
      <charset val="1"/>
    </font>
    <font>
      <b val="true"/>
      <sz val="11.5"/>
      <color rgb="FFFFFFFF"/>
      <name val="Calibri"/>
      <family val="0"/>
      <charset val="1"/>
    </font>
    <font>
      <b val="true"/>
      <sz val="10"/>
      <color rgb="FFFFFFFF"/>
      <name val="Calibri"/>
      <family val="0"/>
      <charset val="1"/>
    </font>
    <font>
      <b val="true"/>
      <sz val="16"/>
      <color rgb="FFFFFFFF"/>
      <name val="Calibri"/>
      <family val="0"/>
      <charset val="1"/>
    </font>
    <font>
      <i val="true"/>
      <sz val="10.5"/>
      <color rgb="FFFFFFFF"/>
      <name val="Calibri"/>
      <family val="0"/>
      <charset val="1"/>
    </font>
    <font>
      <b val="true"/>
      <sz val="10.5"/>
      <color rgb="FFFFFFFF"/>
      <name val="Calibri"/>
      <family val="0"/>
      <charset val="1"/>
    </font>
    <font>
      <b val="true"/>
      <sz val="10.5"/>
      <color rgb="FF222222"/>
      <name val="Calibri"/>
      <family val="0"/>
      <charset val="1"/>
    </font>
    <font>
      <b val="true"/>
      <sz val="10.5"/>
      <color rgb="FFC0392B"/>
      <name val="Calibri"/>
      <family val="0"/>
      <charset val="1"/>
    </font>
    <font>
      <i val="true"/>
      <sz val="10"/>
      <color rgb="FFFFFFFF"/>
      <name val="Calibri"/>
      <family val="0"/>
      <charset val="1"/>
    </font>
    <font>
      <b val="true"/>
      <sz val="11"/>
      <color rgb="FFFFFFFF"/>
      <name val="Calibri"/>
      <family val="0"/>
      <charset val="1"/>
    </font>
    <font>
      <b val="true"/>
      <sz val="9"/>
      <color rgb="FFFFFFFF"/>
      <name val="Calibri"/>
      <family val="0"/>
      <charset val="1"/>
    </font>
    <font>
      <b val="true"/>
      <sz val="14"/>
      <color rgb="FF222222"/>
      <name val="Calibri"/>
      <family val="0"/>
      <charset val="1"/>
    </font>
    <font>
      <b val="true"/>
      <sz val="14"/>
      <color rgb="FFFFFFFF"/>
      <name val="Calibri"/>
      <family val="0"/>
      <charset val="1"/>
    </font>
  </fonts>
  <fills count="12">
    <fill>
      <patternFill patternType="none"/>
    </fill>
    <fill>
      <patternFill patternType="gray125"/>
    </fill>
    <fill>
      <patternFill patternType="solid">
        <fgColor rgb="FF404040"/>
        <bgColor rgb="FF222222"/>
      </patternFill>
    </fill>
    <fill>
      <patternFill patternType="solid">
        <fgColor rgb="FF666666"/>
        <bgColor rgb="FF808080"/>
      </patternFill>
    </fill>
    <fill>
      <patternFill patternType="solid">
        <fgColor rgb="FF808080"/>
        <bgColor rgb="FF969696"/>
      </patternFill>
    </fill>
    <fill>
      <patternFill patternType="solid">
        <fgColor rgb="FFF2F2F2"/>
        <bgColor rgb="FFFFFFFF"/>
      </patternFill>
    </fill>
    <fill>
      <patternFill patternType="solid">
        <fgColor rgb="FFFFF2CC"/>
        <bgColor rgb="FFFCE8B2"/>
      </patternFill>
    </fill>
    <fill>
      <patternFill patternType="solid">
        <fgColor rgb="FFF5B7B1"/>
        <bgColor rgb="FFFF99CC"/>
      </patternFill>
    </fill>
    <fill>
      <patternFill patternType="solid">
        <fgColor rgb="FFFCE8B2"/>
        <bgColor rgb="FFFFF2CC"/>
      </patternFill>
    </fill>
    <fill>
      <patternFill patternType="solid">
        <fgColor rgb="FFC6E8D4"/>
        <bgColor rgb="FFE0E0E0"/>
      </patternFill>
    </fill>
    <fill>
      <patternFill patternType="solid">
        <fgColor rgb="FFFFFFFF"/>
        <bgColor rgb="FFF2F2F2"/>
      </patternFill>
    </fill>
    <fill>
      <patternFill patternType="solid">
        <fgColor rgb="FFC0392B"/>
        <bgColor rgb="FF993366"/>
      </patternFill>
    </fill>
  </fills>
  <borders count="3">
    <border diagonalUp="false" diagonalDown="false">
      <left/>
      <right/>
      <top/>
      <bottom/>
      <diagonal/>
    </border>
    <border diagonalUp="false" diagonalDown="false">
      <left style="thin">
        <color rgb="FFBFBFBF"/>
      </left>
      <right style="thin">
        <color rgb="FFBFBFBF"/>
      </right>
      <top style="thin">
        <color rgb="FFBFBFBF"/>
      </top>
      <bottom style="thin">
        <color rgb="FFBFBFBF"/>
      </bottom>
      <diagonal/>
    </border>
    <border diagonalUp="false" diagonalDown="false">
      <left style="thin">
        <color rgb="FFBFBFBF"/>
      </left>
      <right/>
      <top style="thin">
        <color rgb="FFBFBFBF"/>
      </top>
      <bottom style="thin">
        <color rgb="FFBFBFBF"/>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true" applyAlignment="true" applyProtection="false">
      <alignment horizontal="left" vertical="center" textRotation="0" wrapText="true" indent="1" shrinkToFit="false"/>
      <protection locked="true" hidden="false"/>
    </xf>
    <xf numFmtId="164" fontId="5" fillId="3" borderId="0" xfId="0" applyFont="true" applyBorder="true" applyAlignment="false" applyProtection="false">
      <alignment horizontal="general" vertical="bottom" textRotation="0" wrapText="false" indent="0" shrinkToFit="false"/>
      <protection locked="true" hidden="false"/>
    </xf>
    <xf numFmtId="164" fontId="6" fillId="4" borderId="1" xfId="0" applyFont="true" applyBorder="true" applyAlignment="true" applyProtection="false">
      <alignment horizontal="center" vertical="center" textRotation="0" wrapText="false" indent="0" shrinkToFit="false"/>
      <protection locked="true" hidden="false"/>
    </xf>
    <xf numFmtId="164" fontId="7" fillId="5" borderId="2" xfId="0" applyFont="true" applyBorder="true" applyAlignment="true" applyProtection="false">
      <alignment horizontal="left" vertical="center" textRotation="0" wrapText="true" indent="1" shrinkToFit="false"/>
      <protection locked="true" hidden="false"/>
    </xf>
    <xf numFmtId="164" fontId="0" fillId="6" borderId="1" xfId="0" applyFont="true" applyBorder="tru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0" fillId="7" borderId="1" xfId="0" applyFont="true" applyBorder="true" applyAlignment="false" applyProtection="false">
      <alignment horizontal="general" vertical="bottom" textRotation="0" wrapText="false" indent="0" shrinkToFit="false"/>
      <protection locked="true" hidden="false"/>
    </xf>
    <xf numFmtId="164" fontId="0" fillId="8" borderId="1" xfId="0" applyFont="true" applyBorder="true" applyAlignment="false" applyProtection="false">
      <alignment horizontal="general" vertical="bottom" textRotation="0" wrapText="false" indent="0" shrinkToFit="false"/>
      <protection locked="true" hidden="false"/>
    </xf>
    <xf numFmtId="164" fontId="0" fillId="9" borderId="1" xfId="0" applyFont="true" applyBorder="true" applyAlignment="false" applyProtection="false">
      <alignment horizontal="general" vertical="bottom" textRotation="0" wrapText="false" indent="0" shrinkToFit="false"/>
      <protection locked="true" hidden="false"/>
    </xf>
    <xf numFmtId="164" fontId="10" fillId="4" borderId="2" xfId="0" applyFont="true" applyBorder="true" applyAlignment="true" applyProtection="false">
      <alignment horizontal="left" vertical="center" textRotation="0" wrapText="false" indent="1" shrinkToFit="false"/>
      <protection locked="true" hidden="false"/>
    </xf>
    <xf numFmtId="164" fontId="11" fillId="0" borderId="2" xfId="0" applyFont="true" applyBorder="true" applyAlignment="true" applyProtection="false">
      <alignment horizontal="left" vertical="center" textRotation="0" wrapText="true" indent="1" shrinkToFit="false"/>
      <protection locked="true" hidden="false"/>
    </xf>
    <xf numFmtId="164" fontId="12" fillId="2" borderId="0" xfId="0" applyFont="true" applyBorder="true" applyAlignment="true" applyProtection="false">
      <alignment horizontal="left" vertical="center" textRotation="0" wrapText="true" indent="1" shrinkToFit="false"/>
      <protection locked="true" hidden="false"/>
    </xf>
    <xf numFmtId="164" fontId="13" fillId="2" borderId="0" xfId="0" applyFont="true" applyBorder="false" applyAlignment="true" applyProtection="false">
      <alignment horizontal="center" vertical="center" textRotation="0" wrapText="false" indent="0" shrinkToFit="false"/>
      <protection locked="true" hidden="false"/>
    </xf>
    <xf numFmtId="164" fontId="14" fillId="3" borderId="0" xfId="0" applyFont="true" applyBorder="true" applyAlignment="true" applyProtection="false">
      <alignment horizontal="left" vertical="center" textRotation="0" wrapText="false" indent="1" shrinkToFit="false"/>
      <protection locked="true" hidden="false"/>
    </xf>
    <xf numFmtId="164" fontId="9" fillId="0" borderId="0" xfId="0" applyFont="true" applyBorder="true" applyAlignment="true" applyProtection="false">
      <alignment horizontal="left" vertical="top" textRotation="0" wrapText="true" indent="1" shrinkToFit="false"/>
      <protection locked="true" hidden="false"/>
    </xf>
    <xf numFmtId="164" fontId="15" fillId="4" borderId="1" xfId="0" applyFont="true" applyBorder="true" applyAlignment="true" applyProtection="false">
      <alignment horizontal="left" vertical="center" textRotation="0" wrapText="true" indent="1" shrinkToFit="false"/>
      <protection locked="true" hidden="false"/>
    </xf>
    <xf numFmtId="164" fontId="8" fillId="5" borderId="1" xfId="0" applyFont="true" applyBorder="true" applyAlignment="true" applyProtection="false">
      <alignment horizontal="left" vertical="top" textRotation="0" wrapText="true" indent="1" shrinkToFit="false"/>
      <protection locked="true" hidden="false"/>
    </xf>
    <xf numFmtId="164" fontId="9" fillId="5" borderId="1" xfId="0" applyFont="true" applyBorder="true" applyAlignment="true" applyProtection="false">
      <alignment horizontal="left" vertical="top" textRotation="0" wrapText="true" indent="1" shrinkToFit="false"/>
      <protection locked="true" hidden="false"/>
    </xf>
    <xf numFmtId="164" fontId="8" fillId="10" borderId="1" xfId="0" applyFont="true" applyBorder="true" applyAlignment="true" applyProtection="false">
      <alignment horizontal="left" vertical="top" textRotation="0" wrapText="true" indent="1" shrinkToFit="false"/>
      <protection locked="true" hidden="false"/>
    </xf>
    <xf numFmtId="164" fontId="9" fillId="10" borderId="1" xfId="0" applyFont="true" applyBorder="true" applyAlignment="true" applyProtection="false">
      <alignment horizontal="left" vertical="top" textRotation="0" wrapText="true" indent="1" shrinkToFit="false"/>
      <protection locked="true" hidden="false"/>
    </xf>
    <xf numFmtId="164" fontId="11" fillId="0" borderId="0" xfId="0" applyFont="true" applyBorder="true" applyAlignment="true" applyProtection="false">
      <alignment horizontal="left" vertical="top" textRotation="0" wrapText="true" indent="1" shrinkToFit="false"/>
      <protection locked="true" hidden="false"/>
    </xf>
    <xf numFmtId="164" fontId="8" fillId="0" borderId="0" xfId="0" applyFont="true" applyBorder="true" applyAlignment="true" applyProtection="false">
      <alignment horizontal="left" vertical="top" textRotation="0" wrapText="true" indent="1" shrinkToFit="false"/>
      <protection locked="true" hidden="false"/>
    </xf>
    <xf numFmtId="164" fontId="16" fillId="2" borderId="0" xfId="0" applyFont="true" applyBorder="true" applyAlignment="true" applyProtection="false">
      <alignment horizontal="left" vertical="center" textRotation="0" wrapText="false" indent="1" shrinkToFit="false"/>
      <protection locked="true" hidden="false"/>
    </xf>
    <xf numFmtId="164" fontId="13" fillId="2" borderId="0" xfId="0" applyFont="true" applyBorder="true" applyAlignment="true" applyProtection="false">
      <alignment horizontal="center" vertical="center" textRotation="0" wrapText="false" indent="0" shrinkToFit="false"/>
      <protection locked="true" hidden="false"/>
    </xf>
    <xf numFmtId="164" fontId="17" fillId="2" borderId="0" xfId="0" applyFont="true" applyBorder="true" applyAlignment="true" applyProtection="false">
      <alignment horizontal="left" vertical="center" textRotation="0" wrapText="false" indent="1" shrinkToFit="false"/>
      <protection locked="true" hidden="false"/>
    </xf>
    <xf numFmtId="164" fontId="15" fillId="3" borderId="0" xfId="0" applyFont="true" applyBorder="true" applyAlignment="true" applyProtection="false">
      <alignment horizontal="left" vertical="center" textRotation="0" wrapText="false" indent="1" shrinkToFit="false"/>
      <protection locked="true" hidden="false"/>
    </xf>
    <xf numFmtId="164" fontId="18" fillId="3" borderId="0" xfId="0" applyFont="true" applyBorder="false" applyAlignment="true" applyProtection="false">
      <alignment horizontal="center" vertical="center" textRotation="0" wrapText="true" indent="0" shrinkToFit="false"/>
      <protection locked="true" hidden="false"/>
    </xf>
    <xf numFmtId="164" fontId="8" fillId="5" borderId="1" xfId="0" applyFont="true" applyBorder="true" applyAlignment="true" applyProtection="false">
      <alignment horizontal="center" vertical="top" textRotation="0" wrapText="true" indent="0" shrinkToFit="false"/>
      <protection locked="true" hidden="false"/>
    </xf>
    <xf numFmtId="164" fontId="8" fillId="5" borderId="1" xfId="0" applyFont="true" applyBorder="true" applyAlignment="true" applyProtection="false">
      <alignment horizontal="left" vertical="top" textRotation="0" wrapText="true" indent="0" shrinkToFit="false"/>
      <protection locked="true" hidden="false"/>
    </xf>
    <xf numFmtId="164" fontId="9" fillId="5" borderId="1" xfId="0" applyFont="true" applyBorder="true" applyAlignment="true" applyProtection="false">
      <alignment horizontal="left" vertical="top" textRotation="0" wrapText="true" indent="0" shrinkToFit="false"/>
      <protection locked="true" hidden="false"/>
    </xf>
    <xf numFmtId="164" fontId="9" fillId="5" borderId="1" xfId="0" applyFont="true" applyBorder="true" applyAlignment="true" applyProtection="false">
      <alignment horizontal="center" vertical="top" textRotation="0" wrapText="tru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5" fontId="9" fillId="5" borderId="1" xfId="0" applyFont="true" applyBorder="true" applyAlignment="true" applyProtection="false">
      <alignment horizontal="center" vertical="center" textRotation="0" wrapText="false" indent="0" shrinkToFit="false"/>
      <protection locked="true" hidden="false"/>
    </xf>
    <xf numFmtId="166" fontId="9" fillId="5" borderId="1" xfId="0" applyFont="true" applyBorder="true" applyAlignment="true" applyProtection="false">
      <alignment horizontal="center" vertical="center" textRotation="0" wrapText="false" indent="0" shrinkToFit="false"/>
      <protection locked="true" hidden="false"/>
    </xf>
    <xf numFmtId="164" fontId="0" fillId="0" borderId="1" xfId="0" applyFont="false" applyBorder="true" applyAlignment="true" applyProtection="false">
      <alignment horizontal="center" vertical="center" textRotation="0" wrapText="false" indent="0" shrinkToFit="false"/>
      <protection locked="true" hidden="false"/>
    </xf>
    <xf numFmtId="164" fontId="8" fillId="10" borderId="1" xfId="0" applyFont="true" applyBorder="true" applyAlignment="true" applyProtection="false">
      <alignment horizontal="center" vertical="top" textRotation="0" wrapText="true" indent="0" shrinkToFit="false"/>
      <protection locked="true" hidden="false"/>
    </xf>
    <xf numFmtId="164" fontId="8" fillId="10" borderId="1" xfId="0" applyFont="true" applyBorder="true" applyAlignment="true" applyProtection="false">
      <alignment horizontal="left" vertical="top" textRotation="0" wrapText="true" indent="0" shrinkToFit="false"/>
      <protection locked="true" hidden="false"/>
    </xf>
    <xf numFmtId="164" fontId="9" fillId="10" borderId="1" xfId="0" applyFont="true" applyBorder="true" applyAlignment="true" applyProtection="false">
      <alignment horizontal="left" vertical="top" textRotation="0" wrapText="true" indent="0" shrinkToFit="false"/>
      <protection locked="true" hidden="false"/>
    </xf>
    <xf numFmtId="164" fontId="9" fillId="10" borderId="1" xfId="0" applyFont="true" applyBorder="true" applyAlignment="true" applyProtection="false">
      <alignment horizontal="center" vertical="top" textRotation="0" wrapText="true" indent="0" shrinkToFit="false"/>
      <protection locked="true" hidden="false"/>
    </xf>
    <xf numFmtId="165" fontId="9" fillId="10" borderId="1" xfId="0" applyFont="true" applyBorder="true" applyAlignment="true" applyProtection="false">
      <alignment horizontal="center" vertical="center" textRotation="0" wrapText="false" indent="0" shrinkToFit="false"/>
      <protection locked="true" hidden="false"/>
    </xf>
    <xf numFmtId="166" fontId="9" fillId="10" borderId="1" xfId="0" applyFont="true" applyBorder="true" applyAlignment="true" applyProtection="false">
      <alignment horizontal="center" vertical="center" textRotation="0" wrapText="false" indent="0" shrinkToFit="false"/>
      <protection locked="true" hidden="false"/>
    </xf>
    <xf numFmtId="164" fontId="9" fillId="6" borderId="1" xfId="0" applyFont="true" applyBorder="true" applyAlignment="true" applyProtection="false">
      <alignment horizontal="center" vertical="center" textRotation="0" wrapText="false" indent="0" shrinkToFit="false"/>
      <protection locked="true" hidden="false"/>
    </xf>
    <xf numFmtId="167" fontId="9" fillId="6" borderId="1" xfId="0" applyFont="true" applyBorder="true" applyAlignment="true" applyProtection="false">
      <alignment horizontal="center" vertical="top"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5" fontId="20" fillId="0" borderId="0" xfId="0" applyFont="true" applyBorder="false" applyAlignment="false" applyProtection="false">
      <alignment horizontal="general" vertical="bottom" textRotation="0" wrapText="false" indent="0" shrinkToFit="false"/>
      <protection locked="true" hidden="false"/>
    </xf>
    <xf numFmtId="164" fontId="12" fillId="2" borderId="0" xfId="0" applyFont="true" applyBorder="true" applyAlignment="true" applyProtection="false">
      <alignment horizontal="left" vertical="center" textRotation="0" wrapText="false" indent="1" shrinkToFit="false"/>
      <protection locked="true" hidden="false"/>
    </xf>
    <xf numFmtId="164" fontId="21" fillId="2" borderId="0" xfId="0" applyFont="true" applyBorder="true" applyAlignment="true" applyProtection="false">
      <alignment horizontal="left" vertical="center" textRotation="0" wrapText="false" indent="1" shrinkToFit="false"/>
      <protection locked="true" hidden="false"/>
    </xf>
    <xf numFmtId="164" fontId="22" fillId="11" borderId="0" xfId="0" applyFont="true" applyBorder="true" applyAlignment="true" applyProtection="false">
      <alignment horizontal="left" vertical="center" textRotation="0" wrapText="false" indent="1" shrinkToFit="false"/>
      <protection locked="true" hidden="false"/>
    </xf>
    <xf numFmtId="164" fontId="22" fillId="3" borderId="0" xfId="0" applyFont="true" applyBorder="true" applyAlignment="false" applyProtection="false">
      <alignment horizontal="general" vertical="bottom" textRotation="0" wrapText="false" indent="0" shrinkToFit="false"/>
      <protection locked="true" hidden="false"/>
    </xf>
    <xf numFmtId="164" fontId="15" fillId="4" borderId="0" xfId="0" applyFont="true" applyBorder="false" applyAlignment="true" applyProtection="false">
      <alignment horizontal="center" vertical="center" textRotation="0" wrapText="true" indent="0" shrinkToFit="false"/>
      <protection locked="true" hidden="false"/>
    </xf>
    <xf numFmtId="165" fontId="9" fillId="5" borderId="1" xfId="0" applyFont="true" applyBorder="true" applyAlignment="true" applyProtection="false">
      <alignment horizontal="center"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5" fontId="9" fillId="10" borderId="1" xfId="0" applyFont="true" applyBorder="true" applyAlignment="true" applyProtection="false">
      <alignment horizontal="center" vertical="center" textRotation="0" wrapText="true" indent="0" shrinkToFit="false"/>
      <protection locked="true" hidden="false"/>
    </xf>
    <xf numFmtId="167" fontId="9" fillId="5" borderId="1" xfId="0" applyFont="true" applyBorder="true" applyAlignment="true" applyProtection="false">
      <alignment horizontal="center" vertical="center" textRotation="0" wrapText="true" indent="0" shrinkToFit="false"/>
      <protection locked="true" hidden="false"/>
    </xf>
    <xf numFmtId="164" fontId="9" fillId="5" borderId="1" xfId="0" applyFont="true" applyBorder="true" applyAlignment="true" applyProtection="false">
      <alignment horizontal="center" vertical="center" textRotation="0" wrapText="true" indent="0" shrinkToFit="false"/>
      <protection locked="true" hidden="false"/>
    </xf>
    <xf numFmtId="167" fontId="9" fillId="10" borderId="1" xfId="0" applyFont="true" applyBorder="true" applyAlignment="true" applyProtection="false">
      <alignment horizontal="center" vertical="center" textRotation="0" wrapText="true" indent="0" shrinkToFit="false"/>
      <protection locked="true" hidden="false"/>
    </xf>
    <xf numFmtId="164" fontId="9" fillId="10" borderId="1" xfId="0" applyFont="true" applyBorder="true" applyAlignment="true" applyProtection="false">
      <alignment horizontal="center" vertical="center" textRotation="0" wrapText="true" indent="0" shrinkToFit="false"/>
      <protection locked="true" hidden="false"/>
    </xf>
    <xf numFmtId="164" fontId="23" fillId="4" borderId="1" xfId="0" applyFont="true" applyBorder="true" applyAlignment="true" applyProtection="false">
      <alignment horizontal="center" vertical="center" textRotation="0" wrapText="true" indent="0" shrinkToFit="false"/>
      <protection locked="true" hidden="false"/>
    </xf>
    <xf numFmtId="165" fontId="24" fillId="0" borderId="1" xfId="0" applyFont="true" applyBorder="true" applyAlignment="true" applyProtection="false">
      <alignment horizontal="center" vertical="center" textRotation="0" wrapText="false" indent="0" shrinkToFit="false"/>
      <protection locked="true" hidden="false"/>
    </xf>
    <xf numFmtId="166" fontId="9" fillId="5" borderId="1" xfId="0" applyFont="true" applyBorder="true" applyAlignment="true" applyProtection="false">
      <alignment horizontal="center" vertical="center" textRotation="0" wrapText="true" indent="0" shrinkToFit="false"/>
      <protection locked="true" hidden="false"/>
    </xf>
    <xf numFmtId="166" fontId="9" fillId="10" borderId="1" xfId="0" applyFont="true" applyBorder="true" applyAlignment="true" applyProtection="false">
      <alignment horizontal="center" vertical="center" textRotation="0" wrapText="true" indent="0" shrinkToFit="false"/>
      <protection locked="true" hidden="false"/>
    </xf>
    <xf numFmtId="164" fontId="9" fillId="5" borderId="1" xfId="0" applyFont="true" applyBorder="true" applyAlignment="true" applyProtection="false">
      <alignment horizontal="left" vertical="center" textRotation="0" wrapText="true" indent="0" shrinkToFit="false"/>
      <protection locked="true" hidden="false"/>
    </xf>
    <xf numFmtId="164" fontId="9" fillId="10" borderId="1" xfId="0" applyFont="true" applyBorder="true" applyAlignment="true" applyProtection="false">
      <alignment horizontal="left" vertical="center" textRotation="0" wrapText="true" indent="0" shrinkToFit="false"/>
      <protection locked="true" hidden="false"/>
    </xf>
    <xf numFmtId="164" fontId="25" fillId="2" borderId="0" xfId="0" applyFont="true" applyBorder="true" applyAlignment="true" applyProtection="false">
      <alignment horizontal="left" vertical="center" textRotation="0" wrapText="false" indent="1" shrinkToFit="false"/>
      <protection locked="true" hidden="false"/>
    </xf>
    <xf numFmtId="164" fontId="9" fillId="0" borderId="0" xfId="0" applyFont="true" applyBorder="true" applyAlignment="true" applyProtection="false">
      <alignment horizontal="left" vertical="top"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16">
    <dxf>
      <fill>
        <patternFill patternType="solid">
          <fgColor rgb="FF666666"/>
          <bgColor rgb="FF000000"/>
        </patternFill>
      </fill>
    </dxf>
    <dxf>
      <fill>
        <patternFill patternType="solid">
          <fgColor rgb="FFF2F2F2"/>
          <bgColor rgb="FF000000"/>
        </patternFill>
      </fill>
    </dxf>
    <dxf>
      <fill>
        <patternFill patternType="solid">
          <fgColor rgb="FFFFFFFF"/>
          <bgColor rgb="FF000000"/>
        </patternFill>
      </fill>
    </dxf>
    <dxf>
      <fill>
        <patternFill patternType="solid">
          <fgColor rgb="FF222222"/>
          <bgColor rgb="FF000000"/>
        </patternFill>
      </fill>
    </dxf>
    <dxf>
      <fill>
        <patternFill patternType="solid">
          <fgColor rgb="FFF5B7B1"/>
          <bgColor rgb="FF000000"/>
        </patternFill>
      </fill>
    </dxf>
    <dxf>
      <fill>
        <patternFill patternType="solid">
          <fgColor rgb="FFFCE8B2"/>
          <bgColor rgb="FF000000"/>
        </patternFill>
      </fill>
    </dxf>
    <dxf>
      <fill>
        <patternFill patternType="solid">
          <fgColor rgb="FF9C6500"/>
          <bgColor rgb="FF000000"/>
        </patternFill>
      </fill>
    </dxf>
    <dxf>
      <fill>
        <patternFill patternType="solid">
          <fgColor rgb="FFC0392B"/>
          <bgColor rgb="FF000000"/>
        </patternFill>
      </fill>
    </dxf>
    <dxf>
      <fill>
        <patternFill patternType="solid">
          <fgColor rgb="FF404040"/>
          <bgColor rgb="FF000000"/>
        </patternFill>
      </fill>
    </dxf>
    <dxf>
      <fill>
        <patternFill patternType="solid">
          <bgColor rgb="FF000000"/>
        </patternFill>
      </fill>
    </dxf>
    <dxf>
      <fill>
        <patternFill patternType="solid">
          <fgColor rgb="FF000000"/>
          <bgColor rgb="FF000000"/>
        </patternFill>
      </fill>
    </dxf>
    <dxf>
      <font>
        <name val="Calibri"/>
        <charset val="1"/>
        <family val="0"/>
        <b val="1"/>
        <color rgb="FFC0392B"/>
      </font>
      <fill>
        <patternFill>
          <bgColor rgb="FFF5B7B1"/>
        </patternFill>
      </fill>
    </dxf>
    <dxf>
      <font>
        <name val="Calibri"/>
        <charset val="1"/>
        <family val="0"/>
        <b val="1"/>
        <color rgb="FF9C6500"/>
      </font>
      <fill>
        <patternFill>
          <bgColor rgb="FFFCE8B2"/>
        </patternFill>
      </fill>
    </dxf>
    <dxf>
      <font>
        <name val="Calibri"/>
        <charset val="1"/>
        <family val="0"/>
        <b val="1"/>
        <color rgb="FF1E7145"/>
      </font>
      <fill>
        <patternFill>
          <bgColor rgb="FFC6E8D4"/>
        </patternFill>
      </fill>
    </dxf>
    <dxf>
      <fill>
        <patternFill patternType="solid">
          <fgColor rgb="FFFFF2CC"/>
          <bgColor rgb="FF000000"/>
        </patternFill>
      </fill>
    </dxf>
    <dxf>
      <font>
        <name val="Calibri"/>
        <charset val="1"/>
        <family val="0"/>
        <b val="1"/>
        <color rgb="FF666666"/>
      </font>
      <fill>
        <patternFill>
          <bgColor rgb="FFE0E0E0"/>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9C6500"/>
      <rgbColor rgb="FF800080"/>
      <rgbColor rgb="FF1E7145"/>
      <rgbColor rgb="FFBFBFBF"/>
      <rgbColor rgb="FF808080"/>
      <rgbColor rgb="FF9999FF"/>
      <rgbColor rgb="FF993366"/>
      <rgbColor rgb="FFFFF2CC"/>
      <rgbColor rgb="FFF2F2F2"/>
      <rgbColor rgb="FF660066"/>
      <rgbColor rgb="FFFF8080"/>
      <rgbColor rgb="FF0066CC"/>
      <rgbColor rgb="FFE0E0E0"/>
      <rgbColor rgb="FF000080"/>
      <rgbColor rgb="FFFF00FF"/>
      <rgbColor rgb="FFFFFF00"/>
      <rgbColor rgb="FF00FFFF"/>
      <rgbColor rgb="FF800080"/>
      <rgbColor rgb="FF800000"/>
      <rgbColor rgb="FF008080"/>
      <rgbColor rgb="FF0000FF"/>
      <rgbColor rgb="FF00CCFF"/>
      <rgbColor rgb="FFCCFFFF"/>
      <rgbColor rgb="FFC6E8D4"/>
      <rgbColor rgb="FFFCE8B2"/>
      <rgbColor rgb="FF99CCFF"/>
      <rgbColor rgb="FFFF99CC"/>
      <rgbColor rgb="FFCC99FF"/>
      <rgbColor rgb="FFF5B7B1"/>
      <rgbColor rgb="FF3366FF"/>
      <rgbColor rgb="FF33CCCC"/>
      <rgbColor rgb="FF99CC00"/>
      <rgbColor rgb="FFFFCC00"/>
      <rgbColor rgb="FFFF9900"/>
      <rgbColor rgb="FFFF6600"/>
      <rgbColor rgb="FF666666"/>
      <rgbColor rgb="FF969696"/>
      <rgbColor rgb="FF003366"/>
      <rgbColor rgb="FF339966"/>
      <rgbColor rgb="FF003300"/>
      <rgbColor rgb="FF222222"/>
      <rgbColor rgb="FFC0392B"/>
      <rgbColor rgb="FF993366"/>
      <rgbColor rgb="FF333399"/>
      <rgbColor rgb="FF404040"/>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file>

<file path=xl/drawings/drawing2.xml><?xml version="1.0" encoding="utf-8"?>
<xdr:wsDr xmlns:xdr="http://schemas.openxmlformats.org/drawingml/2006/spreadsheetDrawing" xmlns:a="http://schemas.openxmlformats.org/drawingml/2006/main" xmlns:r="http://schemas.openxmlformats.org/officeDocument/2006/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Matriz_Riesgo_Defensa_Laboral_Patrones.xlsx" TargetMode="External"/><Relationship Id="rId2" Type="http://schemas.openxmlformats.org/officeDocument/2006/relationships/hyperlink" Target="Matriz_Riesgo_Defensa_Laboral_Patrones.xlsx" TargetMode="External"/><Relationship Id="rId3" Type="http://schemas.openxmlformats.org/officeDocument/2006/relationships/hyperlink" Target="Matriz_Riesgo_Defensa_Laboral_Patrones.xlsx" TargetMode="External"/><Relationship Id="rId4" Type="http://schemas.openxmlformats.org/officeDocument/2006/relationships/hyperlink" Target="Matriz_Riesgo_Defensa_Laboral_Patrones.xlsx" TargetMode="External"/><Relationship Id="rId5" Type="http://schemas.openxmlformats.org/officeDocument/2006/relationships/hyperlink" Target="Matriz_Riesgo_Defensa_Laboral_Patrones.xlsx" TargetMode="External"/><Relationship Id="rId6" Type="http://schemas.openxmlformats.org/officeDocument/2006/relationships/hyperlink" Target="Matriz_Riesgo_Defensa_Laboral_Patrones.xlsx" TargetMode="External"/>
</Relationships>
</file>

<file path=xl/worksheets/_rels/sheet2.xml.rels><?xml version="1.0" encoding="UTF-8"?>
<Relationships xmlns="http://schemas.openxmlformats.org/package/2006/relationships"><Relationship Id="rId1" Type="http://schemas.openxmlformats.org/officeDocument/2006/relationships/hyperlink" Target="Matriz_Riesgo_Defensa_Laboral_Patrones.xlsx" TargetMode="External"/>
</Relationships>
</file>

<file path=xl/worksheets/_rels/sheet3.xml.rels><?xml version="1.0" encoding="UTF-8"?>
<Relationships xmlns="http://schemas.openxmlformats.org/package/2006/relationships"><Relationship Id="rId1" Type="http://schemas.openxmlformats.org/officeDocument/2006/relationships/hyperlink" Target="Matriz_Riesgo_Defensa_Laboral_Patrones.xlsx" TargetMode="External"/><Relationship Id="rId2" Type="http://schemas.openxmlformats.org/officeDocument/2006/relationships/drawing" Target="../drawings/drawing1.xml"/>
</Relationships>
</file>

<file path=xl/worksheets/_rels/sheet4.xml.rels><?xml version="1.0" encoding="UTF-8"?>
<Relationships xmlns="http://schemas.openxmlformats.org/package/2006/relationships"><Relationship Id="rId1" Type="http://schemas.openxmlformats.org/officeDocument/2006/relationships/hyperlink" Target="Matriz_Riesgo_Defensa_Laboral_Patrones.xlsx" TargetMode="External"/><Relationship Id="rId2" Type="http://schemas.openxmlformats.org/officeDocument/2006/relationships/drawing" Target="../drawings/drawing2.xml"/>
</Relationships>
</file>

<file path=xl/worksheets/_rels/sheet5.xml.rels><?xml version="1.0" encoding="UTF-8"?>
<Relationships xmlns="http://schemas.openxmlformats.org/package/2006/relationships"><Relationship Id="rId1" Type="http://schemas.openxmlformats.org/officeDocument/2006/relationships/hyperlink" Target="Matriz_Riesgo_Defensa_Laboral_Patrones.xlsx" TargetMode="External"/>
</Relationships>
</file>

<file path=xl/worksheets/_rels/sheet6.xml.rels><?xml version="1.0" encoding="UTF-8"?>
<Relationships xmlns="http://schemas.openxmlformats.org/package/2006/relationships"><Relationship Id="rId1" Type="http://schemas.openxmlformats.org/officeDocument/2006/relationships/hyperlink" Target="Matriz_Riesgo_Defensa_Laboral_Patrones.xlsx" TargetMode="External"/>
</Relationships>
</file>

<file path=xl/worksheets/_rels/sheet7.xml.rels><?xml version="1.0" encoding="UTF-8"?>
<Relationships xmlns="http://schemas.openxmlformats.org/package/2006/relationships"><Relationship Id="rId1" Type="http://schemas.openxmlformats.org/officeDocument/2006/relationships/hyperlink" Target="Matriz_Riesgo_Defensa_Laboral_Patrones.xlsx" TargetMode="Externa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21"/>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4"/>
    <col collapsed="false" customWidth="true" hidden="false" outlineLevel="0" max="2" min="2" style="0" width="16"/>
    <col collapsed="false" customWidth="true" hidden="false" outlineLevel="0" max="6" min="3" style="0" width="20"/>
  </cols>
  <sheetData>
    <row r="1" customFormat="false" ht="24" hidden="false" customHeight="true" outlineLevel="0" collapsed="false">
      <c r="A1" s="1" t="s">
        <v>0</v>
      </c>
      <c r="B1" s="1"/>
      <c r="C1" s="1"/>
      <c r="D1" s="1"/>
      <c r="E1" s="1"/>
      <c r="F1" s="1"/>
    </row>
    <row r="2" customFormat="false" ht="24" hidden="false" customHeight="true" outlineLevel="0" collapsed="false">
      <c r="A2" s="1"/>
      <c r="B2" s="1"/>
      <c r="C2" s="1"/>
      <c r="D2" s="1"/>
      <c r="E2" s="1"/>
      <c r="F2" s="1"/>
    </row>
    <row r="3" customFormat="false" ht="9.75" hidden="false" customHeight="true" outlineLevel="0" collapsed="false"/>
    <row r="4" customFormat="false" ht="15" hidden="false" customHeight="false" outlineLevel="0" collapsed="false">
      <c r="A4" s="2" t="s">
        <v>1</v>
      </c>
      <c r="B4" s="2"/>
      <c r="C4" s="2"/>
      <c r="D4" s="2"/>
      <c r="E4" s="2"/>
      <c r="F4" s="2"/>
    </row>
    <row r="5" customFormat="false" ht="43.5" hidden="false" customHeight="true" outlineLevel="0" collapsed="false">
      <c r="A5" s="3" t="s">
        <v>2</v>
      </c>
      <c r="B5" s="4" t="s">
        <v>3</v>
      </c>
      <c r="C5" s="4"/>
      <c r="D5" s="4"/>
      <c r="E5" s="4"/>
      <c r="F5" s="4"/>
    </row>
    <row r="6" customFormat="false" ht="43.5" hidden="false" customHeight="true" outlineLevel="0" collapsed="false">
      <c r="A6" s="3" t="s">
        <v>4</v>
      </c>
      <c r="B6" s="4" t="s">
        <v>5</v>
      </c>
      <c r="C6" s="4"/>
      <c r="D6" s="4"/>
      <c r="E6" s="4"/>
      <c r="F6" s="4"/>
    </row>
    <row r="7" customFormat="false" ht="43.5" hidden="false" customHeight="true" outlineLevel="0" collapsed="false">
      <c r="A7" s="3" t="s">
        <v>6</v>
      </c>
      <c r="B7" s="4" t="s">
        <v>7</v>
      </c>
      <c r="C7" s="4"/>
      <c r="D7" s="4"/>
      <c r="E7" s="4"/>
      <c r="F7" s="4"/>
    </row>
    <row r="9" customFormat="false" ht="15" hidden="false" customHeight="false" outlineLevel="0" collapsed="false">
      <c r="A9" s="2" t="s">
        <v>8</v>
      </c>
      <c r="B9" s="2"/>
      <c r="C9" s="2"/>
      <c r="D9" s="2"/>
      <c r="E9" s="2"/>
      <c r="F9" s="2"/>
    </row>
    <row r="10" customFormat="false" ht="21.75" hidden="false" customHeight="true" outlineLevel="0" collapsed="false">
      <c r="A10" s="5" t="s">
        <v>9</v>
      </c>
      <c r="B10" s="6" t="s">
        <v>10</v>
      </c>
      <c r="C10" s="7" t="s">
        <v>11</v>
      </c>
      <c r="D10" s="7"/>
      <c r="E10" s="7"/>
      <c r="F10" s="7"/>
    </row>
    <row r="11" customFormat="false" ht="21.75" hidden="false" customHeight="true" outlineLevel="0" collapsed="false">
      <c r="A11" s="8" t="s">
        <v>9</v>
      </c>
      <c r="B11" s="6" t="s">
        <v>12</v>
      </c>
      <c r="C11" s="7" t="s">
        <v>13</v>
      </c>
      <c r="D11" s="7"/>
      <c r="E11" s="7"/>
      <c r="F11" s="7"/>
    </row>
    <row r="12" customFormat="false" ht="21.75" hidden="false" customHeight="true" outlineLevel="0" collapsed="false">
      <c r="A12" s="9" t="s">
        <v>9</v>
      </c>
      <c r="B12" s="6" t="s">
        <v>14</v>
      </c>
      <c r="C12" s="7" t="s">
        <v>15</v>
      </c>
      <c r="D12" s="7"/>
      <c r="E12" s="7"/>
      <c r="F12" s="7"/>
    </row>
    <row r="13" customFormat="false" ht="21.75" hidden="false" customHeight="true" outlineLevel="0" collapsed="false">
      <c r="A13" s="10" t="s">
        <v>9</v>
      </c>
      <c r="B13" s="6" t="s">
        <v>16</v>
      </c>
      <c r="C13" s="7" t="s">
        <v>17</v>
      </c>
      <c r="D13" s="7"/>
      <c r="E13" s="7"/>
      <c r="F13" s="7"/>
    </row>
    <row r="15" customFormat="false" ht="15" hidden="false" customHeight="false" outlineLevel="0" collapsed="false">
      <c r="A15" s="2" t="s">
        <v>18</v>
      </c>
      <c r="B15" s="2"/>
      <c r="C15" s="2"/>
      <c r="D15" s="2"/>
      <c r="E15" s="2"/>
      <c r="F15" s="2"/>
    </row>
    <row r="16" customFormat="false" ht="30" hidden="false" customHeight="true" outlineLevel="0" collapsed="false">
      <c r="A16" s="11" t="s">
        <v>19</v>
      </c>
      <c r="B16" s="11"/>
      <c r="C16" s="12" t="s">
        <v>20</v>
      </c>
      <c r="D16" s="12"/>
      <c r="E16" s="12"/>
      <c r="F16" s="12"/>
    </row>
    <row r="17" customFormat="false" ht="30" hidden="false" customHeight="true" outlineLevel="0" collapsed="false">
      <c r="A17" s="11" t="s">
        <v>21</v>
      </c>
      <c r="B17" s="11"/>
      <c r="C17" s="12" t="s">
        <v>22</v>
      </c>
      <c r="D17" s="12"/>
      <c r="E17" s="12"/>
      <c r="F17" s="12"/>
    </row>
    <row r="18" customFormat="false" ht="30" hidden="false" customHeight="true" outlineLevel="0" collapsed="false">
      <c r="A18" s="11" t="s">
        <v>23</v>
      </c>
      <c r="B18" s="11"/>
      <c r="C18" s="12" t="s">
        <v>24</v>
      </c>
      <c r="D18" s="12"/>
      <c r="E18" s="12"/>
      <c r="F18" s="12"/>
    </row>
    <row r="19" customFormat="false" ht="30" hidden="false" customHeight="true" outlineLevel="0" collapsed="false">
      <c r="A19" s="11" t="s">
        <v>25</v>
      </c>
      <c r="B19" s="11"/>
      <c r="C19" s="12" t="s">
        <v>26</v>
      </c>
      <c r="D19" s="12"/>
      <c r="E19" s="12"/>
      <c r="F19" s="12"/>
    </row>
    <row r="20" customFormat="false" ht="30" hidden="false" customHeight="true" outlineLevel="0" collapsed="false">
      <c r="A20" s="11" t="s">
        <v>27</v>
      </c>
      <c r="B20" s="11"/>
      <c r="C20" s="12" t="s">
        <v>28</v>
      </c>
      <c r="D20" s="12"/>
      <c r="E20" s="12"/>
      <c r="F20" s="12"/>
    </row>
    <row r="21" customFormat="false" ht="30" hidden="false" customHeight="true" outlineLevel="0" collapsed="false">
      <c r="A21" s="11" t="s">
        <v>29</v>
      </c>
      <c r="B21" s="11"/>
      <c r="C21" s="12" t="s">
        <v>30</v>
      </c>
      <c r="D21" s="12"/>
      <c r="E21" s="12"/>
      <c r="F21" s="12"/>
    </row>
  </sheetData>
  <mergeCells count="23">
    <mergeCell ref="A1:F2"/>
    <mergeCell ref="A4:F4"/>
    <mergeCell ref="B5:F5"/>
    <mergeCell ref="B6:F6"/>
    <mergeCell ref="B7:F7"/>
    <mergeCell ref="A9:F9"/>
    <mergeCell ref="C10:F10"/>
    <mergeCell ref="C11:F11"/>
    <mergeCell ref="C12:F12"/>
    <mergeCell ref="C13:F13"/>
    <mergeCell ref="A15:F15"/>
    <mergeCell ref="A16:B16"/>
    <mergeCell ref="C16:F16"/>
    <mergeCell ref="A17:B17"/>
    <mergeCell ref="C17:F17"/>
    <mergeCell ref="A18:B18"/>
    <mergeCell ref="C18:F18"/>
    <mergeCell ref="A19:B19"/>
    <mergeCell ref="C19:F19"/>
    <mergeCell ref="A20:B20"/>
    <mergeCell ref="C20:F20"/>
    <mergeCell ref="A21:B21"/>
    <mergeCell ref="C21:F21"/>
  </mergeCells>
  <hyperlinks>
    <hyperlink ref="A16" r:id="rId1" location="'Guía%20de%20Uso'!A1" display="📘  Guía de Uso"/>
    <hyperlink ref="A17" r:id="rId2" location="'Matriz%20de%20Riesgo'!A1" display="📋  Matriz de Riesgo"/>
    <hyperlink ref="A18" r:id="rId3" location="'Checklist%20Soporte%20Documental'!A1" display="✅  Checklist Soporte Documental"/>
    <hyperlink ref="A19" r:id="rId4" location="'Alertas'!A1" display="🔔  Alertas"/>
    <hyperlink ref="A20" r:id="rId5" location="'Resultados'!A1" display="📊  Resultados"/>
    <hyperlink ref="A21" r:id="rId6" location="'Metodología%20y%20Fuentes'!A1" display="📖  Metodología y Fuentes"/>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5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2" topLeftCell="A3"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6" min="1" style="0" width="16"/>
    <col collapsed="false" customWidth="true" hidden="false" outlineLevel="0" max="7" min="7" style="0" width="12"/>
  </cols>
  <sheetData>
    <row r="1" customFormat="false" ht="36" hidden="false" customHeight="true" outlineLevel="0" collapsed="false">
      <c r="A1" s="13" t="s">
        <v>31</v>
      </c>
      <c r="B1" s="13"/>
      <c r="C1" s="13"/>
      <c r="D1" s="13"/>
      <c r="E1" s="13"/>
      <c r="F1" s="13"/>
      <c r="G1" s="14" t="s">
        <v>32</v>
      </c>
    </row>
    <row r="2" customFormat="false" ht="7.5" hidden="false" customHeight="true" outlineLevel="0" collapsed="false"/>
    <row r="3" customFormat="false" ht="21.75" hidden="false" customHeight="true" outlineLevel="0" collapsed="false">
      <c r="A3" s="15" t="s">
        <v>33</v>
      </c>
      <c r="B3" s="15"/>
      <c r="C3" s="15"/>
      <c r="D3" s="15"/>
      <c r="E3" s="15"/>
      <c r="F3" s="15"/>
      <c r="G3" s="15"/>
    </row>
    <row r="4" customFormat="false" ht="25.5" hidden="false" customHeight="true" outlineLevel="0" collapsed="false">
      <c r="A4" s="16" t="s">
        <v>34</v>
      </c>
      <c r="B4" s="16"/>
      <c r="C4" s="16"/>
      <c r="D4" s="16"/>
      <c r="E4" s="16"/>
      <c r="F4" s="16"/>
      <c r="G4" s="16"/>
    </row>
    <row r="5" customFormat="false" ht="19.5" hidden="false" customHeight="true" outlineLevel="0" collapsed="false">
      <c r="A5" s="17" t="s">
        <v>35</v>
      </c>
      <c r="B5" s="17" t="s">
        <v>36</v>
      </c>
      <c r="C5" s="17" t="s">
        <v>37</v>
      </c>
      <c r="D5" s="17"/>
      <c r="E5" s="17"/>
      <c r="F5" s="17"/>
      <c r="G5" s="17"/>
    </row>
    <row r="6" customFormat="false" ht="31.5" hidden="false" customHeight="true" outlineLevel="0" collapsed="false">
      <c r="A6" s="18" t="s">
        <v>38</v>
      </c>
      <c r="B6" s="19" t="s">
        <v>39</v>
      </c>
      <c r="C6" s="19" t="s">
        <v>40</v>
      </c>
      <c r="D6" s="19"/>
      <c r="E6" s="19"/>
      <c r="F6" s="19"/>
      <c r="G6" s="19"/>
    </row>
    <row r="7" customFormat="false" ht="31.5" hidden="false" customHeight="true" outlineLevel="0" collapsed="false">
      <c r="A7" s="20" t="s">
        <v>41</v>
      </c>
      <c r="B7" s="21" t="s">
        <v>42</v>
      </c>
      <c r="C7" s="21" t="s">
        <v>43</v>
      </c>
      <c r="D7" s="21"/>
      <c r="E7" s="21"/>
      <c r="F7" s="21"/>
      <c r="G7" s="21"/>
    </row>
    <row r="8" customFormat="false" ht="31.5" hidden="false" customHeight="true" outlineLevel="0" collapsed="false">
      <c r="A8" s="18" t="s">
        <v>44</v>
      </c>
      <c r="B8" s="19" t="s">
        <v>45</v>
      </c>
      <c r="C8" s="19" t="s">
        <v>46</v>
      </c>
      <c r="D8" s="19"/>
      <c r="E8" s="19"/>
      <c r="F8" s="19"/>
      <c r="G8" s="19"/>
    </row>
    <row r="9" customFormat="false" ht="31.5" hidden="false" customHeight="true" outlineLevel="0" collapsed="false">
      <c r="A9" s="20" t="s">
        <v>47</v>
      </c>
      <c r="B9" s="21" t="s">
        <v>39</v>
      </c>
      <c r="C9" s="21" t="s">
        <v>48</v>
      </c>
      <c r="D9" s="21"/>
      <c r="E9" s="21"/>
      <c r="F9" s="21"/>
      <c r="G9" s="21"/>
    </row>
    <row r="10" customFormat="false" ht="31.5" hidden="false" customHeight="true" outlineLevel="0" collapsed="false">
      <c r="A10" s="18" t="s">
        <v>49</v>
      </c>
      <c r="B10" s="19" t="s">
        <v>39</v>
      </c>
      <c r="C10" s="19" t="s">
        <v>50</v>
      </c>
      <c r="D10" s="19"/>
      <c r="E10" s="19"/>
      <c r="F10" s="19"/>
      <c r="G10" s="19"/>
    </row>
    <row r="12" customFormat="false" ht="21.75" hidden="false" customHeight="true" outlineLevel="0" collapsed="false">
      <c r="A12" s="15" t="s">
        <v>51</v>
      </c>
      <c r="B12" s="15"/>
      <c r="C12" s="15"/>
      <c r="D12" s="15"/>
      <c r="E12" s="15"/>
      <c r="F12" s="15"/>
      <c r="G12" s="15"/>
    </row>
    <row r="13" customFormat="false" ht="19.5" hidden="false" customHeight="true" outlineLevel="0" collapsed="false">
      <c r="A13" s="17" t="s">
        <v>52</v>
      </c>
      <c r="B13" s="17" t="s">
        <v>53</v>
      </c>
      <c r="C13" s="17" t="s">
        <v>54</v>
      </c>
      <c r="D13" s="17"/>
      <c r="E13" s="17"/>
      <c r="F13" s="17"/>
      <c r="G13" s="17"/>
    </row>
    <row r="14" customFormat="false" ht="25.5" hidden="false" customHeight="true" outlineLevel="0" collapsed="false">
      <c r="A14" s="18" t="s">
        <v>55</v>
      </c>
      <c r="B14" s="19" t="s">
        <v>56</v>
      </c>
      <c r="C14" s="19" t="s">
        <v>57</v>
      </c>
      <c r="D14" s="19"/>
      <c r="E14" s="19"/>
      <c r="F14" s="19"/>
      <c r="G14" s="19"/>
    </row>
    <row r="15" customFormat="false" ht="25.5" hidden="false" customHeight="true" outlineLevel="0" collapsed="false">
      <c r="A15" s="20" t="s">
        <v>12</v>
      </c>
      <c r="B15" s="21" t="s">
        <v>58</v>
      </c>
      <c r="C15" s="21" t="s">
        <v>59</v>
      </c>
      <c r="D15" s="21"/>
      <c r="E15" s="21"/>
      <c r="F15" s="21"/>
      <c r="G15" s="21"/>
    </row>
    <row r="16" customFormat="false" ht="25.5" hidden="false" customHeight="true" outlineLevel="0" collapsed="false">
      <c r="A16" s="18" t="s">
        <v>14</v>
      </c>
      <c r="B16" s="19" t="s">
        <v>60</v>
      </c>
      <c r="C16" s="19" t="s">
        <v>61</v>
      </c>
      <c r="D16" s="19"/>
      <c r="E16" s="19"/>
      <c r="F16" s="19"/>
      <c r="G16" s="19"/>
    </row>
    <row r="17" customFormat="false" ht="25.5" hidden="false" customHeight="true" outlineLevel="0" collapsed="false">
      <c r="A17" s="20" t="s">
        <v>16</v>
      </c>
      <c r="B17" s="21" t="s">
        <v>62</v>
      </c>
      <c r="C17" s="21" t="s">
        <v>63</v>
      </c>
      <c r="D17" s="21"/>
      <c r="E17" s="21"/>
      <c r="F17" s="21"/>
      <c r="G17" s="21"/>
    </row>
    <row r="19" customFormat="false" ht="21.75" hidden="false" customHeight="true" outlineLevel="0" collapsed="false">
      <c r="A19" s="15" t="s">
        <v>64</v>
      </c>
      <c r="B19" s="15"/>
      <c r="C19" s="15"/>
      <c r="D19" s="15"/>
      <c r="E19" s="15"/>
      <c r="F19" s="15"/>
      <c r="G19" s="15"/>
    </row>
    <row r="20" customFormat="false" ht="25.5" hidden="false" customHeight="true" outlineLevel="0" collapsed="false">
      <c r="A20" s="16" t="s">
        <v>65</v>
      </c>
      <c r="B20" s="16"/>
      <c r="C20" s="16"/>
      <c r="D20" s="16"/>
      <c r="E20" s="16"/>
      <c r="F20" s="16"/>
      <c r="G20" s="16"/>
    </row>
    <row r="21" customFormat="false" ht="25.5" hidden="false" customHeight="true" outlineLevel="0" collapsed="false">
      <c r="A21" s="16" t="s">
        <v>66</v>
      </c>
      <c r="B21" s="16"/>
      <c r="C21" s="16"/>
      <c r="D21" s="16"/>
      <c r="E21" s="16"/>
      <c r="F21" s="16"/>
      <c r="G21" s="16"/>
    </row>
    <row r="22" customFormat="false" ht="25.5" hidden="false" customHeight="true" outlineLevel="0" collapsed="false">
      <c r="A22" s="16" t="s">
        <v>67</v>
      </c>
      <c r="B22" s="16"/>
      <c r="C22" s="16"/>
      <c r="D22" s="16"/>
      <c r="E22" s="16"/>
      <c r="F22" s="16"/>
      <c r="G22" s="16"/>
    </row>
    <row r="23" customFormat="false" ht="25.5" hidden="false" customHeight="true" outlineLevel="0" collapsed="false">
      <c r="A23" s="16" t="s">
        <v>68</v>
      </c>
      <c r="B23" s="16"/>
      <c r="C23" s="16"/>
      <c r="D23" s="16"/>
      <c r="E23" s="16"/>
      <c r="F23" s="16"/>
      <c r="G23" s="16"/>
    </row>
    <row r="24" customFormat="false" ht="37.5" hidden="false" customHeight="true" outlineLevel="0" collapsed="false">
      <c r="A24" s="16" t="s">
        <v>69</v>
      </c>
      <c r="B24" s="16"/>
      <c r="C24" s="16"/>
      <c r="D24" s="16"/>
      <c r="E24" s="16"/>
      <c r="F24" s="16"/>
      <c r="G24" s="16"/>
    </row>
    <row r="25" customFormat="false" ht="25.5" hidden="false" customHeight="true" outlineLevel="0" collapsed="false">
      <c r="A25" s="22" t="s">
        <v>70</v>
      </c>
      <c r="B25" s="22"/>
      <c r="C25" s="22"/>
      <c r="D25" s="22"/>
      <c r="E25" s="22"/>
      <c r="F25" s="22"/>
      <c r="G25" s="22"/>
    </row>
    <row r="26" customFormat="false" ht="21.75" hidden="false" customHeight="true" outlineLevel="0" collapsed="false">
      <c r="A26" s="15" t="s">
        <v>71</v>
      </c>
      <c r="B26" s="15"/>
      <c r="C26" s="15"/>
      <c r="D26" s="15"/>
      <c r="E26" s="15"/>
      <c r="F26" s="15"/>
      <c r="G26" s="15"/>
    </row>
    <row r="27" customFormat="false" ht="48" hidden="false" customHeight="true" outlineLevel="0" collapsed="false">
      <c r="A27" s="16" t="s">
        <v>72</v>
      </c>
      <c r="B27" s="16"/>
      <c r="C27" s="16"/>
      <c r="D27" s="16"/>
      <c r="E27" s="16"/>
      <c r="F27" s="16"/>
      <c r="G27" s="16"/>
    </row>
    <row r="28" customFormat="false" ht="21.75" hidden="false" customHeight="true" outlineLevel="0" collapsed="false">
      <c r="A28" s="15" t="s">
        <v>73</v>
      </c>
      <c r="B28" s="15"/>
      <c r="C28" s="15"/>
      <c r="D28" s="15"/>
      <c r="E28" s="15"/>
      <c r="F28" s="15"/>
      <c r="G28" s="15"/>
    </row>
    <row r="29" customFormat="false" ht="19.5" hidden="false" customHeight="true" outlineLevel="0" collapsed="false">
      <c r="A29" s="17" t="s">
        <v>74</v>
      </c>
      <c r="B29" s="17" t="s">
        <v>75</v>
      </c>
      <c r="C29" s="17"/>
      <c r="D29" s="17"/>
      <c r="E29" s="17"/>
      <c r="F29" s="17"/>
      <c r="G29" s="17"/>
    </row>
    <row r="30" customFormat="false" ht="39.75" hidden="false" customHeight="true" outlineLevel="0" collapsed="false">
      <c r="A30" s="18" t="s">
        <v>76</v>
      </c>
      <c r="B30" s="19" t="s">
        <v>77</v>
      </c>
      <c r="C30" s="19"/>
      <c r="D30" s="19"/>
      <c r="E30" s="19"/>
      <c r="F30" s="19"/>
      <c r="G30" s="19"/>
    </row>
    <row r="31" customFormat="false" ht="39.75" hidden="false" customHeight="true" outlineLevel="0" collapsed="false">
      <c r="A31" s="20" t="s">
        <v>78</v>
      </c>
      <c r="B31" s="21" t="s">
        <v>79</v>
      </c>
      <c r="C31" s="21"/>
      <c r="D31" s="21"/>
      <c r="E31" s="21"/>
      <c r="F31" s="21"/>
      <c r="G31" s="21"/>
    </row>
    <row r="32" customFormat="false" ht="39.75" hidden="false" customHeight="true" outlineLevel="0" collapsed="false">
      <c r="A32" s="18" t="s">
        <v>80</v>
      </c>
      <c r="B32" s="19" t="s">
        <v>81</v>
      </c>
      <c r="C32" s="19"/>
      <c r="D32" s="19"/>
      <c r="E32" s="19"/>
      <c r="F32" s="19"/>
      <c r="G32" s="19"/>
    </row>
    <row r="33" customFormat="false" ht="39.75" hidden="false" customHeight="true" outlineLevel="0" collapsed="false">
      <c r="A33" s="20" t="s">
        <v>82</v>
      </c>
      <c r="B33" s="21" t="s">
        <v>83</v>
      </c>
      <c r="C33" s="21"/>
      <c r="D33" s="21"/>
      <c r="E33" s="21"/>
      <c r="F33" s="21"/>
      <c r="G33" s="21"/>
    </row>
    <row r="35" customFormat="false" ht="21.75" hidden="false" customHeight="true" outlineLevel="0" collapsed="false">
      <c r="A35" s="15" t="s">
        <v>84</v>
      </c>
      <c r="B35" s="15"/>
      <c r="C35" s="15"/>
      <c r="D35" s="15"/>
      <c r="E35" s="15"/>
      <c r="F35" s="15"/>
      <c r="G35" s="15"/>
    </row>
    <row r="36" customFormat="false" ht="25.5" hidden="false" customHeight="true" outlineLevel="0" collapsed="false">
      <c r="A36" s="16" t="s">
        <v>85</v>
      </c>
      <c r="B36" s="16"/>
      <c r="C36" s="16"/>
      <c r="D36" s="16"/>
      <c r="E36" s="16"/>
      <c r="F36" s="16"/>
      <c r="G36" s="16"/>
    </row>
    <row r="37" customFormat="false" ht="25.5" hidden="false" customHeight="true" outlineLevel="0" collapsed="false">
      <c r="A37" s="16" t="s">
        <v>86</v>
      </c>
      <c r="B37" s="16"/>
      <c r="C37" s="16"/>
      <c r="D37" s="16"/>
      <c r="E37" s="16"/>
      <c r="F37" s="16"/>
      <c r="G37" s="16"/>
    </row>
    <row r="38" customFormat="false" ht="25.5" hidden="false" customHeight="true" outlineLevel="0" collapsed="false">
      <c r="A38" s="16" t="s">
        <v>87</v>
      </c>
      <c r="B38" s="16"/>
      <c r="C38" s="16"/>
      <c r="D38" s="16"/>
      <c r="E38" s="16"/>
      <c r="F38" s="16"/>
      <c r="G38" s="16"/>
    </row>
    <row r="39" customFormat="false" ht="21.75" hidden="false" customHeight="true" outlineLevel="0" collapsed="false">
      <c r="A39" s="15" t="s">
        <v>88</v>
      </c>
      <c r="B39" s="15"/>
      <c r="C39" s="15"/>
      <c r="D39" s="15"/>
      <c r="E39" s="15"/>
      <c r="F39" s="15"/>
      <c r="G39" s="15"/>
    </row>
    <row r="40" customFormat="false" ht="25.5" hidden="false" customHeight="true" outlineLevel="0" collapsed="false">
      <c r="A40" s="16" t="s">
        <v>89</v>
      </c>
      <c r="B40" s="16"/>
      <c r="C40" s="16"/>
      <c r="D40" s="16"/>
      <c r="E40" s="16"/>
      <c r="F40" s="16"/>
      <c r="G40" s="16"/>
    </row>
    <row r="41" customFormat="false" ht="25.5" hidden="false" customHeight="true" outlineLevel="0" collapsed="false">
      <c r="A41" s="16" t="s">
        <v>90</v>
      </c>
      <c r="B41" s="16"/>
      <c r="C41" s="16"/>
      <c r="D41" s="16"/>
      <c r="E41" s="16"/>
      <c r="F41" s="16"/>
      <c r="G41" s="16"/>
    </row>
    <row r="42" customFormat="false" ht="37.5" hidden="false" customHeight="true" outlineLevel="0" collapsed="false">
      <c r="A42" s="16" t="s">
        <v>91</v>
      </c>
      <c r="B42" s="16"/>
      <c r="C42" s="16"/>
      <c r="D42" s="16"/>
      <c r="E42" s="16"/>
      <c r="F42" s="16"/>
      <c r="G42" s="16"/>
    </row>
    <row r="43" customFormat="false" ht="21.75" hidden="false" customHeight="true" outlineLevel="0" collapsed="false">
      <c r="A43" s="15" t="s">
        <v>92</v>
      </c>
      <c r="B43" s="15"/>
      <c r="C43" s="15"/>
      <c r="D43" s="15"/>
      <c r="E43" s="15"/>
      <c r="F43" s="15"/>
      <c r="G43" s="15"/>
    </row>
    <row r="44" customFormat="false" ht="21.75" hidden="false" customHeight="true" outlineLevel="0" collapsed="false">
      <c r="A44" s="23" t="s">
        <v>93</v>
      </c>
      <c r="B44" s="23"/>
      <c r="C44" s="23"/>
      <c r="D44" s="23"/>
      <c r="E44" s="23"/>
      <c r="F44" s="23"/>
      <c r="G44" s="23"/>
    </row>
    <row r="45" customFormat="false" ht="31.5" hidden="false" customHeight="true" outlineLevel="0" collapsed="false">
      <c r="A45" s="16" t="s">
        <v>94</v>
      </c>
      <c r="B45" s="16"/>
      <c r="C45" s="16"/>
      <c r="D45" s="16"/>
      <c r="E45" s="16"/>
      <c r="F45" s="16"/>
      <c r="G45" s="16"/>
    </row>
    <row r="46" customFormat="false" ht="21.75" hidden="false" customHeight="true" outlineLevel="0" collapsed="false">
      <c r="A46" s="23" t="s">
        <v>95</v>
      </c>
      <c r="B46" s="23"/>
      <c r="C46" s="23"/>
      <c r="D46" s="23"/>
      <c r="E46" s="23"/>
      <c r="F46" s="23"/>
      <c r="G46" s="23"/>
    </row>
    <row r="47" customFormat="false" ht="31.5" hidden="false" customHeight="true" outlineLevel="0" collapsed="false">
      <c r="A47" s="16" t="s">
        <v>96</v>
      </c>
      <c r="B47" s="16"/>
      <c r="C47" s="16"/>
      <c r="D47" s="16"/>
      <c r="E47" s="16"/>
      <c r="F47" s="16"/>
      <c r="G47" s="16"/>
    </row>
    <row r="48" customFormat="false" ht="21.75" hidden="false" customHeight="true" outlineLevel="0" collapsed="false">
      <c r="A48" s="23" t="s">
        <v>97</v>
      </c>
      <c r="B48" s="23"/>
      <c r="C48" s="23"/>
      <c r="D48" s="23"/>
      <c r="E48" s="23"/>
      <c r="F48" s="23"/>
      <c r="G48" s="23"/>
    </row>
    <row r="49" customFormat="false" ht="31.5" hidden="false" customHeight="true" outlineLevel="0" collapsed="false">
      <c r="A49" s="16" t="s">
        <v>98</v>
      </c>
      <c r="B49" s="16"/>
      <c r="C49" s="16"/>
      <c r="D49" s="16"/>
      <c r="E49" s="16"/>
      <c r="F49" s="16"/>
      <c r="G49" s="16"/>
    </row>
    <row r="50" customFormat="false" ht="21.75" hidden="false" customHeight="true" outlineLevel="0" collapsed="false">
      <c r="A50" s="23" t="s">
        <v>99</v>
      </c>
      <c r="B50" s="23"/>
      <c r="C50" s="23"/>
      <c r="D50" s="23"/>
      <c r="E50" s="23"/>
      <c r="F50" s="23"/>
      <c r="G50" s="23"/>
    </row>
    <row r="51" customFormat="false" ht="31.5" hidden="false" customHeight="true" outlineLevel="0" collapsed="false">
      <c r="A51" s="16" t="s">
        <v>100</v>
      </c>
      <c r="B51" s="16"/>
      <c r="C51" s="16"/>
      <c r="D51" s="16"/>
      <c r="E51" s="16"/>
      <c r="F51" s="16"/>
      <c r="G51" s="16"/>
    </row>
    <row r="52" customFormat="false" ht="21.75" hidden="false" customHeight="true" outlineLevel="0" collapsed="false">
      <c r="A52" s="15" t="s">
        <v>101</v>
      </c>
      <c r="B52" s="15"/>
      <c r="C52" s="15"/>
      <c r="D52" s="15"/>
      <c r="E52" s="15"/>
      <c r="F52" s="15"/>
      <c r="G52" s="15"/>
    </row>
    <row r="53" customFormat="false" ht="21.75" hidden="false" customHeight="true" outlineLevel="0" collapsed="false">
      <c r="A53" s="16" t="s">
        <v>102</v>
      </c>
      <c r="B53" s="16"/>
      <c r="C53" s="16"/>
      <c r="D53" s="16"/>
      <c r="E53" s="16"/>
      <c r="F53" s="16"/>
      <c r="G53" s="16"/>
    </row>
    <row r="54" customFormat="false" ht="31.5" hidden="false" customHeight="true" outlineLevel="0" collapsed="false">
      <c r="A54" s="16" t="s">
        <v>103</v>
      </c>
      <c r="B54" s="16"/>
      <c r="C54" s="16"/>
      <c r="D54" s="16"/>
      <c r="E54" s="16"/>
      <c r="F54" s="16"/>
      <c r="G54" s="16"/>
    </row>
    <row r="55" customFormat="false" ht="31.5" hidden="false" customHeight="true" outlineLevel="0" collapsed="false">
      <c r="A55" s="16" t="s">
        <v>104</v>
      </c>
      <c r="B55" s="16"/>
      <c r="C55" s="16"/>
      <c r="D55" s="16"/>
      <c r="E55" s="16"/>
      <c r="F55" s="16"/>
      <c r="G55" s="16"/>
    </row>
    <row r="56" customFormat="false" ht="31.5" hidden="false" customHeight="true" outlineLevel="0" collapsed="false">
      <c r="A56" s="16" t="s">
        <v>105</v>
      </c>
      <c r="B56" s="16"/>
      <c r="C56" s="16"/>
      <c r="D56" s="16"/>
      <c r="E56" s="16"/>
      <c r="F56" s="16"/>
      <c r="G56" s="16"/>
    </row>
  </sheetData>
  <mergeCells count="52">
    <mergeCell ref="A1:F1"/>
    <mergeCell ref="A3:G3"/>
    <mergeCell ref="A4:G4"/>
    <mergeCell ref="C5:G5"/>
    <mergeCell ref="C6:G6"/>
    <mergeCell ref="C7:G7"/>
    <mergeCell ref="C8:G8"/>
    <mergeCell ref="C9:G9"/>
    <mergeCell ref="C10:G10"/>
    <mergeCell ref="A12:G12"/>
    <mergeCell ref="C13:G13"/>
    <mergeCell ref="C14:G14"/>
    <mergeCell ref="C15:G15"/>
    <mergeCell ref="C16:G16"/>
    <mergeCell ref="C17:G17"/>
    <mergeCell ref="A19:G19"/>
    <mergeCell ref="A20:G20"/>
    <mergeCell ref="A21:G21"/>
    <mergeCell ref="A22:G22"/>
    <mergeCell ref="A23:G23"/>
    <mergeCell ref="A24:G24"/>
    <mergeCell ref="A25:G25"/>
    <mergeCell ref="A26:G26"/>
    <mergeCell ref="A27:G27"/>
    <mergeCell ref="A28:G28"/>
    <mergeCell ref="B29:G29"/>
    <mergeCell ref="B30:G30"/>
    <mergeCell ref="B31:G31"/>
    <mergeCell ref="B32:G32"/>
    <mergeCell ref="B33:G33"/>
    <mergeCell ref="A35:G35"/>
    <mergeCell ref="A36:G36"/>
    <mergeCell ref="A37:G37"/>
    <mergeCell ref="A38:G38"/>
    <mergeCell ref="A39:G39"/>
    <mergeCell ref="A40:G40"/>
    <mergeCell ref="A41:G41"/>
    <mergeCell ref="A42:G42"/>
    <mergeCell ref="A43:G43"/>
    <mergeCell ref="A44:G44"/>
    <mergeCell ref="A45:G45"/>
    <mergeCell ref="A46:G46"/>
    <mergeCell ref="A47:G47"/>
    <mergeCell ref="A48:G48"/>
    <mergeCell ref="A49:G49"/>
    <mergeCell ref="A50:G50"/>
    <mergeCell ref="A51:G51"/>
    <mergeCell ref="A52:G52"/>
    <mergeCell ref="A53:G53"/>
    <mergeCell ref="A54:G54"/>
    <mergeCell ref="A55:G55"/>
    <mergeCell ref="A56:G56"/>
  </mergeCells>
  <hyperlinks>
    <hyperlink ref="G1" r:id="rId1" location="'Inicio'!A1" display="🏠 Inicio"/>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R2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4"/>
    <col collapsed="false" customWidth="true" hidden="false" outlineLevel="0" max="3" min="3" style="0" width="46"/>
    <col collapsed="false" customWidth="true" hidden="false" outlineLevel="0" max="4" min="4" style="0" width="34"/>
    <col collapsed="false" customWidth="true" hidden="false" outlineLevel="0" max="5" min="5" style="0" width="12"/>
    <col collapsed="false" customWidth="true" hidden="false" outlineLevel="0" max="6" min="6" style="0" width="11"/>
    <col collapsed="false" customWidth="true" hidden="false" outlineLevel="0" max="7" min="7" style="0" width="13"/>
    <col collapsed="false" customWidth="true" hidden="false" outlineLevel="0" max="8" min="8" style="0" width="46"/>
    <col collapsed="false" customWidth="true" hidden="true" outlineLevel="0" max="11" min="10" style="0" width="13"/>
    <col collapsed="false" customWidth="true" hidden="false" outlineLevel="0" max="13" min="12" style="0" width="9"/>
    <col collapsed="false" customWidth="true" hidden="false" outlineLevel="0" max="14" min="14" style="0" width="10"/>
    <col collapsed="false" customWidth="true" hidden="false" outlineLevel="0" max="15" min="15" style="0" width="11"/>
    <col collapsed="false" customWidth="true" hidden="false" outlineLevel="0" max="16" min="16" style="0" width="8"/>
    <col collapsed="false" customWidth="true" hidden="false" outlineLevel="0" max="17" min="17" style="0" width="15"/>
    <col collapsed="false" customWidth="true" hidden="true" outlineLevel="0" max="18" min="18" style="0" width="13"/>
  </cols>
  <sheetData>
    <row r="1" customFormat="false" ht="33.75" hidden="false" customHeight="true" outlineLevel="0" collapsed="false">
      <c r="A1" s="24" t="s">
        <v>106</v>
      </c>
      <c r="B1" s="24"/>
      <c r="C1" s="24"/>
      <c r="D1" s="24"/>
      <c r="E1" s="24"/>
      <c r="F1" s="24"/>
      <c r="G1" s="24"/>
      <c r="H1" s="24"/>
      <c r="I1" s="24"/>
      <c r="J1" s="24"/>
      <c r="K1" s="24"/>
      <c r="L1" s="24"/>
      <c r="M1" s="24"/>
      <c r="N1" s="24"/>
      <c r="O1" s="24"/>
      <c r="P1" s="25" t="s">
        <v>32</v>
      </c>
      <c r="Q1" s="25"/>
    </row>
    <row r="2" customFormat="false" ht="19.5" hidden="false" customHeight="true" outlineLevel="0" collapsed="false">
      <c r="A2" s="26" t="s">
        <v>107</v>
      </c>
      <c r="B2" s="26"/>
      <c r="C2" s="26"/>
      <c r="D2" s="26"/>
      <c r="E2" s="26"/>
      <c r="F2" s="26"/>
      <c r="G2" s="26"/>
      <c r="H2" s="26"/>
      <c r="I2" s="26"/>
      <c r="J2" s="26"/>
      <c r="K2" s="26"/>
      <c r="L2" s="26"/>
      <c r="M2" s="26"/>
      <c r="N2" s="26"/>
      <c r="O2" s="26"/>
      <c r="P2" s="26"/>
      <c r="Q2" s="26"/>
    </row>
    <row r="3" customFormat="false" ht="19.5" hidden="false" customHeight="true" outlineLevel="0" collapsed="false">
      <c r="A3" s="27" t="str">
        <f aca="false">"Riesgo residual  —  Alto: "&amp;COUNTIF(O5:O23,"Alto")&amp;"   Medio: "&amp;COUNTIF(O5:O23,"Medio")&amp;"   Bajo: "&amp;COUNTIF(O5:O23,"Bajo")</f>
        <v>Riesgo residual  —  Alto: 13   Medio: 6   Bajo: 0</v>
      </c>
      <c r="B3" s="27"/>
      <c r="C3" s="27"/>
      <c r="D3" s="27"/>
      <c r="E3" s="27"/>
      <c r="F3" s="27"/>
      <c r="G3" s="27" t="str">
        <f aca="false">"Avance documental promedio: "&amp;TEXT(AVERAGE(N5:N23),"0%")&amp;"   |   Riesgos a atender ya: "&amp;COUNTIF(Q5:Q23,"Atender ya")</f>
        <v>Avance documental promedio: 0%   |   Riesgos a atender ya: 13</v>
      </c>
      <c r="H3" s="27"/>
      <c r="I3" s="27"/>
      <c r="J3" s="27"/>
      <c r="K3" s="27"/>
      <c r="L3" s="27"/>
      <c r="M3" s="27"/>
      <c r="N3" s="27"/>
      <c r="O3" s="27"/>
      <c r="P3" s="27"/>
      <c r="Q3" s="27"/>
    </row>
    <row r="4" customFormat="false" ht="39.75" hidden="false" customHeight="true" outlineLevel="0" collapsed="false">
      <c r="A4" s="28" t="s">
        <v>108</v>
      </c>
      <c r="B4" s="28" t="s">
        <v>109</v>
      </c>
      <c r="C4" s="28" t="s">
        <v>110</v>
      </c>
      <c r="D4" s="28" t="s">
        <v>111</v>
      </c>
      <c r="E4" s="28" t="s">
        <v>112</v>
      </c>
      <c r="F4" s="28" t="s">
        <v>113</v>
      </c>
      <c r="G4" s="28" t="s">
        <v>114</v>
      </c>
      <c r="H4" s="28" t="s">
        <v>115</v>
      </c>
      <c r="J4" s="0" t="s">
        <v>116</v>
      </c>
      <c r="K4" s="0" t="s">
        <v>117</v>
      </c>
      <c r="L4" s="28" t="s">
        <v>118</v>
      </c>
      <c r="M4" s="28" t="s">
        <v>119</v>
      </c>
      <c r="N4" s="28" t="s">
        <v>120</v>
      </c>
      <c r="O4" s="28" t="s">
        <v>121</v>
      </c>
      <c r="P4" s="28" t="s">
        <v>122</v>
      </c>
      <c r="Q4" s="28" t="s">
        <v>123</v>
      </c>
    </row>
    <row r="5" customFormat="false" ht="78" hidden="false" customHeight="true" outlineLevel="0" collapsed="false">
      <c r="A5" s="29" t="n">
        <v>1</v>
      </c>
      <c r="B5" s="30" t="s">
        <v>124</v>
      </c>
      <c r="C5" s="31" t="s">
        <v>125</v>
      </c>
      <c r="D5" s="31" t="s">
        <v>126</v>
      </c>
      <c r="E5" s="32" t="s">
        <v>127</v>
      </c>
      <c r="F5" s="32" t="s">
        <v>128</v>
      </c>
      <c r="G5" s="33" t="str">
        <f aca="false">IF(J5*K5&gt;=6,"Alto",IF(J5*K5&gt;=3,"Medio","Bajo"))</f>
        <v>Alto</v>
      </c>
      <c r="H5" s="31" t="s">
        <v>129</v>
      </c>
      <c r="J5" s="34" t="n">
        <f aca="false">IF(E5="Alta",3,IF(E5="Media",2,1))</f>
        <v>3</v>
      </c>
      <c r="K5" s="34" t="n">
        <f aca="false">IF(F5="Alto",3,IF(F5="Medio",2,1))</f>
        <v>3</v>
      </c>
      <c r="L5" s="35" t="n">
        <f aca="false">SUMPRODUCT(--ISNUMBER(SEARCH(","&amp;A5&amp;",",","&amp;SUBSTITUTE('Checklist Soporte Documental'!$D$5:$D$33," ","")&amp;",")))</f>
        <v>5</v>
      </c>
      <c r="M5" s="35" t="n">
        <f aca="false">SUMPRODUCT(--ISNUMBER(SEARCH(","&amp;A5&amp;",",","&amp;SUBSTITUTE('Checklist Soporte Documental'!$D$5:$D$33," ","")&amp;","))*('Checklist Soporte Documental'!$E$5:$E$33="Completo"))</f>
        <v>0</v>
      </c>
      <c r="N5" s="36" t="n">
        <f aca="false">IF(L5=0,"N/D",M5/L5)</f>
        <v>0</v>
      </c>
      <c r="O5" s="37" t="str">
        <f aca="false">IF(R5&gt;=6,"Alto",IF(R5&gt;=3,"Medio","Bajo"))</f>
        <v>Alto</v>
      </c>
      <c r="P5" s="35" t="n">
        <f aca="false">RANK(R5,$R$5:$R$23,0)+COUNTIF($R$5:R5,R5)-1</f>
        <v>1</v>
      </c>
      <c r="Q5" s="37" t="str">
        <f aca="false">IF(O5="Alto","Atender ya",IF(O5="Medio","En seguimiento","Controlado"))</f>
        <v>Atender ya</v>
      </c>
      <c r="R5" s="34" t="n">
        <f aca="false">J5*K5*(1-IF(N5="N/D",0,N5)*0.5)</f>
        <v>9</v>
      </c>
    </row>
    <row r="6" customFormat="false" ht="78" hidden="false" customHeight="true" outlineLevel="0" collapsed="false">
      <c r="A6" s="38" t="n">
        <v>2</v>
      </c>
      <c r="B6" s="39" t="s">
        <v>124</v>
      </c>
      <c r="C6" s="40" t="s">
        <v>130</v>
      </c>
      <c r="D6" s="40" t="s">
        <v>131</v>
      </c>
      <c r="E6" s="41" t="s">
        <v>127</v>
      </c>
      <c r="F6" s="41" t="s">
        <v>132</v>
      </c>
      <c r="G6" s="33" t="str">
        <f aca="false">IF(J6*K6&gt;=6,"Alto",IF(J6*K6&gt;=3,"Medio","Bajo"))</f>
        <v>Alto</v>
      </c>
      <c r="H6" s="40" t="s">
        <v>133</v>
      </c>
      <c r="J6" s="34" t="n">
        <f aca="false">IF(E6="Alta",3,IF(E6="Media",2,1))</f>
        <v>3</v>
      </c>
      <c r="K6" s="34" t="n">
        <f aca="false">IF(F6="Alto",3,IF(F6="Medio",2,1))</f>
        <v>2</v>
      </c>
      <c r="L6" s="42" t="n">
        <f aca="false">SUMPRODUCT(--ISNUMBER(SEARCH(","&amp;A6&amp;",",","&amp;SUBSTITUTE('Checklist Soporte Documental'!$D$5:$D$33," ","")&amp;",")))</f>
        <v>1</v>
      </c>
      <c r="M6" s="42" t="n">
        <f aca="false">SUMPRODUCT(--ISNUMBER(SEARCH(","&amp;A6&amp;",",","&amp;SUBSTITUTE('Checklist Soporte Documental'!$D$5:$D$33," ","")&amp;","))*('Checklist Soporte Documental'!$E$5:$E$33="Completo"))</f>
        <v>0</v>
      </c>
      <c r="N6" s="43" t="n">
        <f aca="false">IF(L6=0,"N/D",M6/L6)</f>
        <v>0</v>
      </c>
      <c r="O6" s="37" t="str">
        <f aca="false">IF(R6&gt;=6,"Alto",IF(R6&gt;=3,"Medio","Bajo"))</f>
        <v>Alto</v>
      </c>
      <c r="P6" s="42" t="n">
        <f aca="false">RANK(R6,$R$5:$R$23,0)+COUNTIF($R$5:R6,R6)-1</f>
        <v>10</v>
      </c>
      <c r="Q6" s="37" t="str">
        <f aca="false">IF(O6="Alto","Atender ya",IF(O6="Medio","En seguimiento","Controlado"))</f>
        <v>Atender ya</v>
      </c>
      <c r="R6" s="34" t="n">
        <f aca="false">J6*K6*(1-IF(N6="N/D",0,N6)*0.5)</f>
        <v>6</v>
      </c>
    </row>
    <row r="7" customFormat="false" ht="78" hidden="false" customHeight="true" outlineLevel="0" collapsed="false">
      <c r="A7" s="29" t="n">
        <v>3</v>
      </c>
      <c r="B7" s="30" t="s">
        <v>124</v>
      </c>
      <c r="C7" s="31" t="s">
        <v>134</v>
      </c>
      <c r="D7" s="31" t="s">
        <v>135</v>
      </c>
      <c r="E7" s="32" t="s">
        <v>127</v>
      </c>
      <c r="F7" s="32" t="s">
        <v>128</v>
      </c>
      <c r="G7" s="33" t="str">
        <f aca="false">IF(J7*K7&gt;=6,"Alto",IF(J7*K7&gt;=3,"Medio","Bajo"))</f>
        <v>Alto</v>
      </c>
      <c r="H7" s="31" t="s">
        <v>136</v>
      </c>
      <c r="J7" s="34" t="n">
        <f aca="false">IF(E7="Alta",3,IF(E7="Media",2,1))</f>
        <v>3</v>
      </c>
      <c r="K7" s="34" t="n">
        <f aca="false">IF(F7="Alto",3,IF(F7="Medio",2,1))</f>
        <v>3</v>
      </c>
      <c r="L7" s="35" t="n">
        <f aca="false">SUMPRODUCT(--ISNUMBER(SEARCH(","&amp;A7&amp;",",","&amp;SUBSTITUTE('Checklist Soporte Documental'!$D$5:$D$33," ","")&amp;",")))</f>
        <v>1</v>
      </c>
      <c r="M7" s="35" t="n">
        <f aca="false">SUMPRODUCT(--ISNUMBER(SEARCH(","&amp;A7&amp;",",","&amp;SUBSTITUTE('Checklist Soporte Documental'!$D$5:$D$33," ","")&amp;","))*('Checklist Soporte Documental'!$E$5:$E$33="Completo"))</f>
        <v>0</v>
      </c>
      <c r="N7" s="36" t="n">
        <f aca="false">IF(L7=0,"N/D",M7/L7)</f>
        <v>0</v>
      </c>
      <c r="O7" s="37" t="str">
        <f aca="false">IF(R7&gt;=6,"Alto",IF(R7&gt;=3,"Medio","Bajo"))</f>
        <v>Alto</v>
      </c>
      <c r="P7" s="35" t="n">
        <f aca="false">RANK(R7,$R$5:$R$23,0)+COUNTIF($R$5:R7,R7)-1</f>
        <v>2</v>
      </c>
      <c r="Q7" s="37" t="str">
        <f aca="false">IF(O7="Alto","Atender ya",IF(O7="Medio","En seguimiento","Controlado"))</f>
        <v>Atender ya</v>
      </c>
      <c r="R7" s="34" t="n">
        <f aca="false">J7*K7*(1-IF(N7="N/D",0,N7)*0.5)</f>
        <v>9</v>
      </c>
    </row>
    <row r="8" customFormat="false" ht="78" hidden="false" customHeight="true" outlineLevel="0" collapsed="false">
      <c r="A8" s="38" t="n">
        <v>4</v>
      </c>
      <c r="B8" s="39" t="s">
        <v>124</v>
      </c>
      <c r="C8" s="40" t="s">
        <v>137</v>
      </c>
      <c r="D8" s="40" t="s">
        <v>138</v>
      </c>
      <c r="E8" s="41" t="s">
        <v>127</v>
      </c>
      <c r="F8" s="41" t="s">
        <v>128</v>
      </c>
      <c r="G8" s="33" t="str">
        <f aca="false">IF(J8*K8&gt;=6,"Alto",IF(J8*K8&gt;=3,"Medio","Bajo"))</f>
        <v>Alto</v>
      </c>
      <c r="H8" s="40" t="s">
        <v>139</v>
      </c>
      <c r="J8" s="34" t="n">
        <f aca="false">IF(E8="Alta",3,IF(E8="Media",2,1))</f>
        <v>3</v>
      </c>
      <c r="K8" s="34" t="n">
        <f aca="false">IF(F8="Alto",3,IF(F8="Medio",2,1))</f>
        <v>3</v>
      </c>
      <c r="L8" s="42" t="n">
        <f aca="false">SUMPRODUCT(--ISNUMBER(SEARCH(","&amp;A8&amp;",",","&amp;SUBSTITUTE('Checklist Soporte Documental'!$D$5:$D$33," ","")&amp;",")))</f>
        <v>1</v>
      </c>
      <c r="M8" s="42" t="n">
        <f aca="false">SUMPRODUCT(--ISNUMBER(SEARCH(","&amp;A8&amp;",",","&amp;SUBSTITUTE('Checklist Soporte Documental'!$D$5:$D$33," ","")&amp;","))*('Checklist Soporte Documental'!$E$5:$E$33="Completo"))</f>
        <v>0</v>
      </c>
      <c r="N8" s="43" t="n">
        <f aca="false">IF(L8=0,"N/D",M8/L8)</f>
        <v>0</v>
      </c>
      <c r="O8" s="37" t="str">
        <f aca="false">IF(R8&gt;=6,"Alto",IF(R8&gt;=3,"Medio","Bajo"))</f>
        <v>Alto</v>
      </c>
      <c r="P8" s="42" t="n">
        <f aca="false">RANK(R8,$R$5:$R$23,0)+COUNTIF($R$5:R8,R8)-1</f>
        <v>3</v>
      </c>
      <c r="Q8" s="37" t="str">
        <f aca="false">IF(O8="Alto","Atender ya",IF(O8="Medio","En seguimiento","Controlado"))</f>
        <v>Atender ya</v>
      </c>
      <c r="R8" s="34" t="n">
        <f aca="false">J8*K8*(1-IF(N8="N/D",0,N8)*0.5)</f>
        <v>9</v>
      </c>
    </row>
    <row r="9" customFormat="false" ht="78" hidden="false" customHeight="true" outlineLevel="0" collapsed="false">
      <c r="A9" s="29" t="n">
        <v>5</v>
      </c>
      <c r="B9" s="30" t="s">
        <v>124</v>
      </c>
      <c r="C9" s="31" t="s">
        <v>140</v>
      </c>
      <c r="D9" s="31" t="s">
        <v>141</v>
      </c>
      <c r="E9" s="32" t="s">
        <v>142</v>
      </c>
      <c r="F9" s="32" t="s">
        <v>128</v>
      </c>
      <c r="G9" s="33" t="str">
        <f aca="false">IF(J9*K9&gt;=6,"Alto",IF(J9*K9&gt;=3,"Medio","Bajo"))</f>
        <v>Alto</v>
      </c>
      <c r="H9" s="31" t="s">
        <v>143</v>
      </c>
      <c r="J9" s="34" t="n">
        <f aca="false">IF(E9="Alta",3,IF(E9="Media",2,1))</f>
        <v>2</v>
      </c>
      <c r="K9" s="34" t="n">
        <f aca="false">IF(F9="Alto",3,IF(F9="Medio",2,1))</f>
        <v>3</v>
      </c>
      <c r="L9" s="35" t="n">
        <f aca="false">SUMPRODUCT(--ISNUMBER(SEARCH(","&amp;A9&amp;",",","&amp;SUBSTITUTE('Checklist Soporte Documental'!$D$5:$D$33," ","")&amp;",")))</f>
        <v>1</v>
      </c>
      <c r="M9" s="35" t="n">
        <f aca="false">SUMPRODUCT(--ISNUMBER(SEARCH(","&amp;A9&amp;",",","&amp;SUBSTITUTE('Checklist Soporte Documental'!$D$5:$D$33," ","")&amp;","))*('Checklist Soporte Documental'!$E$5:$E$33="Completo"))</f>
        <v>0</v>
      </c>
      <c r="N9" s="36" t="n">
        <f aca="false">IF(L9=0,"N/D",M9/L9)</f>
        <v>0</v>
      </c>
      <c r="O9" s="37" t="str">
        <f aca="false">IF(R9&gt;=6,"Alto",IF(R9&gt;=3,"Medio","Bajo"))</f>
        <v>Alto</v>
      </c>
      <c r="P9" s="35" t="n">
        <f aca="false">RANK(R9,$R$5:$R$23,0)+COUNTIF($R$5:R9,R9)-1</f>
        <v>11</v>
      </c>
      <c r="Q9" s="37" t="str">
        <f aca="false">IF(O9="Alto","Atender ya",IF(O9="Medio","En seguimiento","Controlado"))</f>
        <v>Atender ya</v>
      </c>
      <c r="R9" s="34" t="n">
        <f aca="false">J9*K9*(1-IF(N9="N/D",0,N9)*0.5)</f>
        <v>6</v>
      </c>
    </row>
    <row r="10" customFormat="false" ht="78" hidden="false" customHeight="true" outlineLevel="0" collapsed="false">
      <c r="A10" s="38" t="n">
        <v>6</v>
      </c>
      <c r="B10" s="39" t="s">
        <v>144</v>
      </c>
      <c r="C10" s="40" t="s">
        <v>145</v>
      </c>
      <c r="D10" s="40" t="s">
        <v>146</v>
      </c>
      <c r="E10" s="41" t="s">
        <v>127</v>
      </c>
      <c r="F10" s="41" t="s">
        <v>128</v>
      </c>
      <c r="G10" s="33" t="str">
        <f aca="false">IF(J10*K10&gt;=6,"Alto",IF(J10*K10&gt;=3,"Medio","Bajo"))</f>
        <v>Alto</v>
      </c>
      <c r="H10" s="40" t="s">
        <v>147</v>
      </c>
      <c r="J10" s="34" t="n">
        <f aca="false">IF(E10="Alta",3,IF(E10="Media",2,1))</f>
        <v>3</v>
      </c>
      <c r="K10" s="34" t="n">
        <f aca="false">IF(F10="Alto",3,IF(F10="Medio",2,1))</f>
        <v>3</v>
      </c>
      <c r="L10" s="42" t="n">
        <f aca="false">SUMPRODUCT(--ISNUMBER(SEARCH(","&amp;A10&amp;",",","&amp;SUBSTITUTE('Checklist Soporte Documental'!$D$5:$D$33," ","")&amp;",")))</f>
        <v>2</v>
      </c>
      <c r="M10" s="42" t="n">
        <f aca="false">SUMPRODUCT(--ISNUMBER(SEARCH(","&amp;A10&amp;",",","&amp;SUBSTITUTE('Checklist Soporte Documental'!$D$5:$D$33," ","")&amp;","))*('Checklist Soporte Documental'!$E$5:$E$33="Completo"))</f>
        <v>0</v>
      </c>
      <c r="N10" s="43" t="n">
        <f aca="false">IF(L10=0,"N/D",M10/L10)</f>
        <v>0</v>
      </c>
      <c r="O10" s="37" t="str">
        <f aca="false">IF(R10&gt;=6,"Alto",IF(R10&gt;=3,"Medio","Bajo"))</f>
        <v>Alto</v>
      </c>
      <c r="P10" s="42" t="n">
        <f aca="false">RANK(R10,$R$5:$R$23,0)+COUNTIF($R$5:R10,R10)-1</f>
        <v>4</v>
      </c>
      <c r="Q10" s="37" t="str">
        <f aca="false">IF(O10="Alto","Atender ya",IF(O10="Medio","En seguimiento","Controlado"))</f>
        <v>Atender ya</v>
      </c>
      <c r="R10" s="34" t="n">
        <f aca="false">J10*K10*(1-IF(N10="N/D",0,N10)*0.5)</f>
        <v>9</v>
      </c>
    </row>
    <row r="11" customFormat="false" ht="78" hidden="false" customHeight="true" outlineLevel="0" collapsed="false">
      <c r="A11" s="29" t="n">
        <v>7</v>
      </c>
      <c r="B11" s="30" t="s">
        <v>144</v>
      </c>
      <c r="C11" s="31" t="s">
        <v>148</v>
      </c>
      <c r="D11" s="31" t="s">
        <v>149</v>
      </c>
      <c r="E11" s="32" t="s">
        <v>127</v>
      </c>
      <c r="F11" s="32" t="s">
        <v>128</v>
      </c>
      <c r="G11" s="33" t="str">
        <f aca="false">IF(J11*K11&gt;=6,"Alto",IF(J11*K11&gt;=3,"Medio","Bajo"))</f>
        <v>Alto</v>
      </c>
      <c r="H11" s="31" t="s">
        <v>150</v>
      </c>
      <c r="J11" s="34" t="n">
        <f aca="false">IF(E11="Alta",3,IF(E11="Media",2,1))</f>
        <v>3</v>
      </c>
      <c r="K11" s="34" t="n">
        <f aca="false">IF(F11="Alto",3,IF(F11="Medio",2,1))</f>
        <v>3</v>
      </c>
      <c r="L11" s="35" t="n">
        <f aca="false">SUMPRODUCT(--ISNUMBER(SEARCH(","&amp;A11&amp;",",","&amp;SUBSTITUTE('Checklist Soporte Documental'!$D$5:$D$33," ","")&amp;",")))</f>
        <v>2</v>
      </c>
      <c r="M11" s="35" t="n">
        <f aca="false">SUMPRODUCT(--ISNUMBER(SEARCH(","&amp;A11&amp;",",","&amp;SUBSTITUTE('Checklist Soporte Documental'!$D$5:$D$33," ","")&amp;","))*('Checklist Soporte Documental'!$E$5:$E$33="Completo"))</f>
        <v>0</v>
      </c>
      <c r="N11" s="36" t="n">
        <f aca="false">IF(L11=0,"N/D",M11/L11)</f>
        <v>0</v>
      </c>
      <c r="O11" s="37" t="str">
        <f aca="false">IF(R11&gt;=6,"Alto",IF(R11&gt;=3,"Medio","Bajo"))</f>
        <v>Alto</v>
      </c>
      <c r="P11" s="35" t="n">
        <f aca="false">RANK(R11,$R$5:$R$23,0)+COUNTIF($R$5:R11,R11)-1</f>
        <v>5</v>
      </c>
      <c r="Q11" s="37" t="str">
        <f aca="false">IF(O11="Alto","Atender ya",IF(O11="Medio","En seguimiento","Controlado"))</f>
        <v>Atender ya</v>
      </c>
      <c r="R11" s="34" t="n">
        <f aca="false">J11*K11*(1-IF(N11="N/D",0,N11)*0.5)</f>
        <v>9</v>
      </c>
    </row>
    <row r="12" customFormat="false" ht="78" hidden="false" customHeight="true" outlineLevel="0" collapsed="false">
      <c r="A12" s="38" t="n">
        <v>8</v>
      </c>
      <c r="B12" s="39" t="s">
        <v>144</v>
      </c>
      <c r="C12" s="40" t="s">
        <v>151</v>
      </c>
      <c r="D12" s="40" t="s">
        <v>152</v>
      </c>
      <c r="E12" s="41" t="s">
        <v>142</v>
      </c>
      <c r="F12" s="41" t="s">
        <v>128</v>
      </c>
      <c r="G12" s="33" t="str">
        <f aca="false">IF(J12*K12&gt;=6,"Alto",IF(J12*K12&gt;=3,"Medio","Bajo"))</f>
        <v>Alto</v>
      </c>
      <c r="H12" s="40" t="s">
        <v>153</v>
      </c>
      <c r="J12" s="34" t="n">
        <f aca="false">IF(E12="Alta",3,IF(E12="Media",2,1))</f>
        <v>2</v>
      </c>
      <c r="K12" s="34" t="n">
        <f aca="false">IF(F12="Alto",3,IF(F12="Medio",2,1))</f>
        <v>3</v>
      </c>
      <c r="L12" s="42" t="n">
        <f aca="false">SUMPRODUCT(--ISNUMBER(SEARCH(","&amp;A12&amp;",",","&amp;SUBSTITUTE('Checklist Soporte Documental'!$D$5:$D$33," ","")&amp;",")))</f>
        <v>1</v>
      </c>
      <c r="M12" s="42" t="n">
        <f aca="false">SUMPRODUCT(--ISNUMBER(SEARCH(","&amp;A12&amp;",",","&amp;SUBSTITUTE('Checklist Soporte Documental'!$D$5:$D$33," ","")&amp;","))*('Checklist Soporte Documental'!$E$5:$E$33="Completo"))</f>
        <v>0</v>
      </c>
      <c r="N12" s="43" t="n">
        <f aca="false">IF(L12=0,"N/D",M12/L12)</f>
        <v>0</v>
      </c>
      <c r="O12" s="37" t="str">
        <f aca="false">IF(R12&gt;=6,"Alto",IF(R12&gt;=3,"Medio","Bajo"))</f>
        <v>Alto</v>
      </c>
      <c r="P12" s="42" t="n">
        <f aca="false">RANK(R12,$R$5:$R$23,0)+COUNTIF($R$5:R12,R12)-1</f>
        <v>12</v>
      </c>
      <c r="Q12" s="37" t="str">
        <f aca="false">IF(O12="Alto","Atender ya",IF(O12="Medio","En seguimiento","Controlado"))</f>
        <v>Atender ya</v>
      </c>
      <c r="R12" s="34" t="n">
        <f aca="false">J12*K12*(1-IF(N12="N/D",0,N12)*0.5)</f>
        <v>6</v>
      </c>
    </row>
    <row r="13" customFormat="false" ht="78" hidden="false" customHeight="true" outlineLevel="0" collapsed="false">
      <c r="A13" s="29" t="n">
        <v>9</v>
      </c>
      <c r="B13" s="30" t="s">
        <v>144</v>
      </c>
      <c r="C13" s="31" t="s">
        <v>154</v>
      </c>
      <c r="D13" s="31" t="s">
        <v>155</v>
      </c>
      <c r="E13" s="32" t="s">
        <v>142</v>
      </c>
      <c r="F13" s="32" t="s">
        <v>132</v>
      </c>
      <c r="G13" s="33" t="str">
        <f aca="false">IF(J13*K13&gt;=6,"Alto",IF(J13*K13&gt;=3,"Medio","Bajo"))</f>
        <v>Medio</v>
      </c>
      <c r="H13" s="31" t="s">
        <v>156</v>
      </c>
      <c r="J13" s="34" t="n">
        <f aca="false">IF(E13="Alta",3,IF(E13="Media",2,1))</f>
        <v>2</v>
      </c>
      <c r="K13" s="34" t="n">
        <f aca="false">IF(F13="Alto",3,IF(F13="Medio",2,1))</f>
        <v>2</v>
      </c>
      <c r="L13" s="35" t="n">
        <f aca="false">SUMPRODUCT(--ISNUMBER(SEARCH(","&amp;A13&amp;",",","&amp;SUBSTITUTE('Checklist Soporte Documental'!$D$5:$D$33," ","")&amp;",")))</f>
        <v>2</v>
      </c>
      <c r="M13" s="35" t="n">
        <f aca="false">SUMPRODUCT(--ISNUMBER(SEARCH(","&amp;A13&amp;",",","&amp;SUBSTITUTE('Checklist Soporte Documental'!$D$5:$D$33," ","")&amp;","))*('Checklist Soporte Documental'!$E$5:$E$33="Completo"))</f>
        <v>0</v>
      </c>
      <c r="N13" s="36" t="n">
        <f aca="false">IF(L13=0,"N/D",M13/L13)</f>
        <v>0</v>
      </c>
      <c r="O13" s="37" t="str">
        <f aca="false">IF(R13&gt;=6,"Alto",IF(R13&gt;=3,"Medio","Bajo"))</f>
        <v>Medio</v>
      </c>
      <c r="P13" s="35" t="n">
        <f aca="false">RANK(R13,$R$5:$R$23,0)+COUNTIF($R$5:R13,R13)-1</f>
        <v>14</v>
      </c>
      <c r="Q13" s="37" t="str">
        <f aca="false">IF(O13="Alto","Atender ya",IF(O13="Medio","En seguimiento","Controlado"))</f>
        <v>En seguimiento</v>
      </c>
      <c r="R13" s="34" t="n">
        <f aca="false">J13*K13*(1-IF(N13="N/D",0,N13)*0.5)</f>
        <v>4</v>
      </c>
    </row>
    <row r="14" customFormat="false" ht="78" hidden="false" customHeight="true" outlineLevel="0" collapsed="false">
      <c r="A14" s="38" t="n">
        <v>10</v>
      </c>
      <c r="B14" s="39" t="s">
        <v>144</v>
      </c>
      <c r="C14" s="40" t="s">
        <v>157</v>
      </c>
      <c r="D14" s="40" t="s">
        <v>158</v>
      </c>
      <c r="E14" s="41" t="s">
        <v>142</v>
      </c>
      <c r="F14" s="41" t="s">
        <v>132</v>
      </c>
      <c r="G14" s="33" t="str">
        <f aca="false">IF(J14*K14&gt;=6,"Alto",IF(J14*K14&gt;=3,"Medio","Bajo"))</f>
        <v>Medio</v>
      </c>
      <c r="H14" s="40" t="s">
        <v>159</v>
      </c>
      <c r="J14" s="34" t="n">
        <f aca="false">IF(E14="Alta",3,IF(E14="Media",2,1))</f>
        <v>2</v>
      </c>
      <c r="K14" s="34" t="n">
        <f aca="false">IF(F14="Alto",3,IF(F14="Medio",2,1))</f>
        <v>2</v>
      </c>
      <c r="L14" s="42" t="n">
        <f aca="false">SUMPRODUCT(--ISNUMBER(SEARCH(","&amp;A14&amp;",",","&amp;SUBSTITUTE('Checklist Soporte Documental'!$D$5:$D$33," ","")&amp;",")))</f>
        <v>2</v>
      </c>
      <c r="M14" s="42" t="n">
        <f aca="false">SUMPRODUCT(--ISNUMBER(SEARCH(","&amp;A14&amp;",",","&amp;SUBSTITUTE('Checklist Soporte Documental'!$D$5:$D$33," ","")&amp;","))*('Checklist Soporte Documental'!$E$5:$E$33="Completo"))</f>
        <v>0</v>
      </c>
      <c r="N14" s="43" t="n">
        <f aca="false">IF(L14=0,"N/D",M14/L14)</f>
        <v>0</v>
      </c>
      <c r="O14" s="37" t="str">
        <f aca="false">IF(R14&gt;=6,"Alto",IF(R14&gt;=3,"Medio","Bajo"))</f>
        <v>Medio</v>
      </c>
      <c r="P14" s="42" t="n">
        <f aca="false">RANK(R14,$R$5:$R$23,0)+COUNTIF($R$5:R14,R14)-1</f>
        <v>15</v>
      </c>
      <c r="Q14" s="37" t="str">
        <f aca="false">IF(O14="Alto","Atender ya",IF(O14="Medio","En seguimiento","Controlado"))</f>
        <v>En seguimiento</v>
      </c>
      <c r="R14" s="34" t="n">
        <f aca="false">J14*K14*(1-IF(N14="N/D",0,N14)*0.5)</f>
        <v>4</v>
      </c>
    </row>
    <row r="15" customFormat="false" ht="78" hidden="false" customHeight="true" outlineLevel="0" collapsed="false">
      <c r="A15" s="29" t="n">
        <v>11</v>
      </c>
      <c r="B15" s="30" t="s">
        <v>144</v>
      </c>
      <c r="C15" s="31" t="s">
        <v>160</v>
      </c>
      <c r="D15" s="31" t="s">
        <v>161</v>
      </c>
      <c r="E15" s="32" t="s">
        <v>142</v>
      </c>
      <c r="F15" s="32" t="s">
        <v>132</v>
      </c>
      <c r="G15" s="33" t="str">
        <f aca="false">IF(J15*K15&gt;=6,"Alto",IF(J15*K15&gt;=3,"Medio","Bajo"))</f>
        <v>Medio</v>
      </c>
      <c r="H15" s="31" t="s">
        <v>162</v>
      </c>
      <c r="J15" s="34" t="n">
        <f aca="false">IF(E15="Alta",3,IF(E15="Media",2,1))</f>
        <v>2</v>
      </c>
      <c r="K15" s="34" t="n">
        <f aca="false">IF(F15="Alto",3,IF(F15="Medio",2,1))</f>
        <v>2</v>
      </c>
      <c r="L15" s="35" t="n">
        <f aca="false">SUMPRODUCT(--ISNUMBER(SEARCH(","&amp;A15&amp;",",","&amp;SUBSTITUTE('Checklist Soporte Documental'!$D$5:$D$33," ","")&amp;",")))</f>
        <v>2</v>
      </c>
      <c r="M15" s="35" t="n">
        <f aca="false">SUMPRODUCT(--ISNUMBER(SEARCH(","&amp;A15&amp;",",","&amp;SUBSTITUTE('Checklist Soporte Documental'!$D$5:$D$33," ","")&amp;","))*('Checklist Soporte Documental'!$E$5:$E$33="Completo"))</f>
        <v>0</v>
      </c>
      <c r="N15" s="36" t="n">
        <f aca="false">IF(L15=0,"N/D",M15/L15)</f>
        <v>0</v>
      </c>
      <c r="O15" s="37" t="str">
        <f aca="false">IF(R15&gt;=6,"Alto",IF(R15&gt;=3,"Medio","Bajo"))</f>
        <v>Medio</v>
      </c>
      <c r="P15" s="35" t="n">
        <f aca="false">RANK(R15,$R$5:$R$23,0)+COUNTIF($R$5:R15,R15)-1</f>
        <v>16</v>
      </c>
      <c r="Q15" s="37" t="str">
        <f aca="false">IF(O15="Alto","Atender ya",IF(O15="Medio","En seguimiento","Controlado"))</f>
        <v>En seguimiento</v>
      </c>
      <c r="R15" s="34" t="n">
        <f aca="false">J15*K15*(1-IF(N15="N/D",0,N15)*0.5)</f>
        <v>4</v>
      </c>
    </row>
    <row r="16" customFormat="false" ht="78" hidden="false" customHeight="true" outlineLevel="0" collapsed="false">
      <c r="A16" s="38" t="n">
        <v>12</v>
      </c>
      <c r="B16" s="39" t="s">
        <v>144</v>
      </c>
      <c r="C16" s="40" t="s">
        <v>163</v>
      </c>
      <c r="D16" s="40" t="s">
        <v>164</v>
      </c>
      <c r="E16" s="41" t="s">
        <v>142</v>
      </c>
      <c r="F16" s="41" t="s">
        <v>132</v>
      </c>
      <c r="G16" s="33" t="str">
        <f aca="false">IF(J16*K16&gt;=6,"Alto",IF(J16*K16&gt;=3,"Medio","Bajo"))</f>
        <v>Medio</v>
      </c>
      <c r="H16" s="40" t="s">
        <v>165</v>
      </c>
      <c r="J16" s="34" t="n">
        <f aca="false">IF(E16="Alta",3,IF(E16="Media",2,1))</f>
        <v>2</v>
      </c>
      <c r="K16" s="34" t="n">
        <f aca="false">IF(F16="Alto",3,IF(F16="Medio",2,1))</f>
        <v>2</v>
      </c>
      <c r="L16" s="42" t="n">
        <f aca="false">SUMPRODUCT(--ISNUMBER(SEARCH(","&amp;A16&amp;",",","&amp;SUBSTITUTE('Checklist Soporte Documental'!$D$5:$D$33," ","")&amp;",")))</f>
        <v>1</v>
      </c>
      <c r="M16" s="42" t="n">
        <f aca="false">SUMPRODUCT(--ISNUMBER(SEARCH(","&amp;A16&amp;",",","&amp;SUBSTITUTE('Checklist Soporte Documental'!$D$5:$D$33," ","")&amp;","))*('Checklist Soporte Documental'!$E$5:$E$33="Completo"))</f>
        <v>0</v>
      </c>
      <c r="N16" s="43" t="n">
        <f aca="false">IF(L16=0,"N/D",M16/L16)</f>
        <v>0</v>
      </c>
      <c r="O16" s="37" t="str">
        <f aca="false">IF(R16&gt;=6,"Alto",IF(R16&gt;=3,"Medio","Bajo"))</f>
        <v>Medio</v>
      </c>
      <c r="P16" s="42" t="n">
        <f aca="false">RANK(R16,$R$5:$R$23,0)+COUNTIF($R$5:R16,R16)-1</f>
        <v>17</v>
      </c>
      <c r="Q16" s="37" t="str">
        <f aca="false">IF(O16="Alto","Atender ya",IF(O16="Medio","En seguimiento","Controlado"))</f>
        <v>En seguimiento</v>
      </c>
      <c r="R16" s="34" t="n">
        <f aca="false">J16*K16*(1-IF(N16="N/D",0,N16)*0.5)</f>
        <v>4</v>
      </c>
    </row>
    <row r="17" customFormat="false" ht="78" hidden="false" customHeight="true" outlineLevel="0" collapsed="false">
      <c r="A17" s="29" t="n">
        <v>13</v>
      </c>
      <c r="B17" s="30" t="s">
        <v>166</v>
      </c>
      <c r="C17" s="31" t="s">
        <v>167</v>
      </c>
      <c r="D17" s="31" t="s">
        <v>168</v>
      </c>
      <c r="E17" s="32" t="s">
        <v>127</v>
      </c>
      <c r="F17" s="32" t="s">
        <v>128</v>
      </c>
      <c r="G17" s="33" t="str">
        <f aca="false">IF(J17*K17&gt;=6,"Alto",IF(J17*K17&gt;=3,"Medio","Bajo"))</f>
        <v>Alto</v>
      </c>
      <c r="H17" s="31" t="s">
        <v>169</v>
      </c>
      <c r="J17" s="34" t="n">
        <f aca="false">IF(E17="Alta",3,IF(E17="Media",2,1))</f>
        <v>3</v>
      </c>
      <c r="K17" s="34" t="n">
        <f aca="false">IF(F17="Alto",3,IF(F17="Medio",2,1))</f>
        <v>3</v>
      </c>
      <c r="L17" s="35" t="n">
        <f aca="false">SUMPRODUCT(--ISNUMBER(SEARCH(","&amp;A17&amp;",",","&amp;SUBSTITUTE('Checklist Soporte Documental'!$D$5:$D$33," ","")&amp;",")))</f>
        <v>2</v>
      </c>
      <c r="M17" s="35" t="n">
        <f aca="false">SUMPRODUCT(--ISNUMBER(SEARCH(","&amp;A17&amp;",",","&amp;SUBSTITUTE('Checklist Soporte Documental'!$D$5:$D$33," ","")&amp;","))*('Checklist Soporte Documental'!$E$5:$E$33="Completo"))</f>
        <v>0</v>
      </c>
      <c r="N17" s="36" t="n">
        <f aca="false">IF(L17=0,"N/D",M17/L17)</f>
        <v>0</v>
      </c>
      <c r="O17" s="37" t="str">
        <f aca="false">IF(R17&gt;=6,"Alto",IF(R17&gt;=3,"Medio","Bajo"))</f>
        <v>Alto</v>
      </c>
      <c r="P17" s="35" t="n">
        <f aca="false">RANK(R17,$R$5:$R$23,0)+COUNTIF($R$5:R17,R17)-1</f>
        <v>6</v>
      </c>
      <c r="Q17" s="37" t="str">
        <f aca="false">IF(O17="Alto","Atender ya",IF(O17="Medio","En seguimiento","Controlado"))</f>
        <v>Atender ya</v>
      </c>
      <c r="R17" s="34" t="n">
        <f aca="false">J17*K17*(1-IF(N17="N/D",0,N17)*0.5)</f>
        <v>9</v>
      </c>
    </row>
    <row r="18" customFormat="false" ht="78" hidden="false" customHeight="true" outlineLevel="0" collapsed="false">
      <c r="A18" s="38" t="n">
        <v>14</v>
      </c>
      <c r="B18" s="39" t="s">
        <v>166</v>
      </c>
      <c r="C18" s="40" t="s">
        <v>170</v>
      </c>
      <c r="D18" s="40" t="s">
        <v>171</v>
      </c>
      <c r="E18" s="41" t="s">
        <v>142</v>
      </c>
      <c r="F18" s="41" t="s">
        <v>132</v>
      </c>
      <c r="G18" s="33" t="str">
        <f aca="false">IF(J18*K18&gt;=6,"Alto",IF(J18*K18&gt;=3,"Medio","Bajo"))</f>
        <v>Medio</v>
      </c>
      <c r="H18" s="40" t="s">
        <v>172</v>
      </c>
      <c r="J18" s="34" t="n">
        <f aca="false">IF(E18="Alta",3,IF(E18="Media",2,1))</f>
        <v>2</v>
      </c>
      <c r="K18" s="34" t="n">
        <f aca="false">IF(F18="Alto",3,IF(F18="Medio",2,1))</f>
        <v>2</v>
      </c>
      <c r="L18" s="42" t="n">
        <f aca="false">SUMPRODUCT(--ISNUMBER(SEARCH(","&amp;A18&amp;",",","&amp;SUBSTITUTE('Checklist Soporte Documental'!$D$5:$D$33," ","")&amp;",")))</f>
        <v>1</v>
      </c>
      <c r="M18" s="42" t="n">
        <f aca="false">SUMPRODUCT(--ISNUMBER(SEARCH(","&amp;A18&amp;",",","&amp;SUBSTITUTE('Checklist Soporte Documental'!$D$5:$D$33," ","")&amp;","))*('Checklist Soporte Documental'!$E$5:$E$33="Completo"))</f>
        <v>0</v>
      </c>
      <c r="N18" s="43" t="n">
        <f aca="false">IF(L18=0,"N/D",M18/L18)</f>
        <v>0</v>
      </c>
      <c r="O18" s="37" t="str">
        <f aca="false">IF(R18&gt;=6,"Alto",IF(R18&gt;=3,"Medio","Bajo"))</f>
        <v>Medio</v>
      </c>
      <c r="P18" s="42" t="n">
        <f aca="false">RANK(R18,$R$5:$R$23,0)+COUNTIF($R$5:R18,R18)-1</f>
        <v>18</v>
      </c>
      <c r="Q18" s="37" t="str">
        <f aca="false">IF(O18="Alto","Atender ya",IF(O18="Medio","En seguimiento","Controlado"))</f>
        <v>En seguimiento</v>
      </c>
      <c r="R18" s="34" t="n">
        <f aca="false">J18*K18*(1-IF(N18="N/D",0,N18)*0.5)</f>
        <v>4</v>
      </c>
    </row>
    <row r="19" customFormat="false" ht="78" hidden="false" customHeight="true" outlineLevel="0" collapsed="false">
      <c r="A19" s="29" t="n">
        <v>15</v>
      </c>
      <c r="B19" s="30" t="s">
        <v>166</v>
      </c>
      <c r="C19" s="31" t="s">
        <v>173</v>
      </c>
      <c r="D19" s="31" t="s">
        <v>174</v>
      </c>
      <c r="E19" s="32" t="s">
        <v>127</v>
      </c>
      <c r="F19" s="32" t="s">
        <v>128</v>
      </c>
      <c r="G19" s="33" t="str">
        <f aca="false">IF(J19*K19&gt;=6,"Alto",IF(J19*K19&gt;=3,"Medio","Bajo"))</f>
        <v>Alto</v>
      </c>
      <c r="H19" s="31" t="s">
        <v>175</v>
      </c>
      <c r="J19" s="34" t="n">
        <f aca="false">IF(E19="Alta",3,IF(E19="Media",2,1))</f>
        <v>3</v>
      </c>
      <c r="K19" s="34" t="n">
        <f aca="false">IF(F19="Alto",3,IF(F19="Medio",2,1))</f>
        <v>3</v>
      </c>
      <c r="L19" s="35" t="n">
        <f aca="false">SUMPRODUCT(--ISNUMBER(SEARCH(","&amp;A19&amp;",",","&amp;SUBSTITUTE('Checklist Soporte Documental'!$D$5:$D$33," ","")&amp;",")))</f>
        <v>1</v>
      </c>
      <c r="M19" s="35" t="n">
        <f aca="false">SUMPRODUCT(--ISNUMBER(SEARCH(","&amp;A19&amp;",",","&amp;SUBSTITUTE('Checklist Soporte Documental'!$D$5:$D$33," ","")&amp;","))*('Checklist Soporte Documental'!$E$5:$E$33="Completo"))</f>
        <v>0</v>
      </c>
      <c r="N19" s="36" t="n">
        <f aca="false">IF(L19=0,"N/D",M19/L19)</f>
        <v>0</v>
      </c>
      <c r="O19" s="37" t="str">
        <f aca="false">IF(R19&gt;=6,"Alto",IF(R19&gt;=3,"Medio","Bajo"))</f>
        <v>Alto</v>
      </c>
      <c r="P19" s="35" t="n">
        <f aca="false">RANK(R19,$R$5:$R$23,0)+COUNTIF($R$5:R19,R19)-1</f>
        <v>7</v>
      </c>
      <c r="Q19" s="37" t="str">
        <f aca="false">IF(O19="Alto","Atender ya",IF(O19="Medio","En seguimiento","Controlado"))</f>
        <v>Atender ya</v>
      </c>
      <c r="R19" s="34" t="n">
        <f aca="false">J19*K19*(1-IF(N19="N/D",0,N19)*0.5)</f>
        <v>9</v>
      </c>
    </row>
    <row r="20" customFormat="false" ht="78" hidden="false" customHeight="true" outlineLevel="0" collapsed="false">
      <c r="A20" s="38" t="n">
        <v>16</v>
      </c>
      <c r="B20" s="39" t="s">
        <v>166</v>
      </c>
      <c r="C20" s="40" t="s">
        <v>176</v>
      </c>
      <c r="D20" s="40" t="s">
        <v>177</v>
      </c>
      <c r="E20" s="41" t="s">
        <v>142</v>
      </c>
      <c r="F20" s="41" t="s">
        <v>128</v>
      </c>
      <c r="G20" s="33" t="str">
        <f aca="false">IF(J20*K20&gt;=6,"Alto",IF(J20*K20&gt;=3,"Medio","Bajo"))</f>
        <v>Alto</v>
      </c>
      <c r="H20" s="40" t="s">
        <v>178</v>
      </c>
      <c r="J20" s="34" t="n">
        <f aca="false">IF(E20="Alta",3,IF(E20="Media",2,1))</f>
        <v>2</v>
      </c>
      <c r="K20" s="34" t="n">
        <f aca="false">IF(F20="Alto",3,IF(F20="Medio",2,1))</f>
        <v>3</v>
      </c>
      <c r="L20" s="42" t="n">
        <f aca="false">SUMPRODUCT(--ISNUMBER(SEARCH(","&amp;A20&amp;",",","&amp;SUBSTITUTE('Checklist Soporte Documental'!$D$5:$D$33," ","")&amp;",")))</f>
        <v>1</v>
      </c>
      <c r="M20" s="42" t="n">
        <f aca="false">SUMPRODUCT(--ISNUMBER(SEARCH(","&amp;A20&amp;",",","&amp;SUBSTITUTE('Checklist Soporte Documental'!$D$5:$D$33," ","")&amp;","))*('Checklist Soporte Documental'!$E$5:$E$33="Completo"))</f>
        <v>0</v>
      </c>
      <c r="N20" s="43" t="n">
        <f aca="false">IF(L20=0,"N/D",M20/L20)</f>
        <v>0</v>
      </c>
      <c r="O20" s="37" t="str">
        <f aca="false">IF(R20&gt;=6,"Alto",IF(R20&gt;=3,"Medio","Bajo"))</f>
        <v>Alto</v>
      </c>
      <c r="P20" s="42" t="n">
        <f aca="false">RANK(R20,$R$5:$R$23,0)+COUNTIF($R$5:R20,R20)-1</f>
        <v>13</v>
      </c>
      <c r="Q20" s="37" t="str">
        <f aca="false">IF(O20="Alto","Atender ya",IF(O20="Medio","En seguimiento","Controlado"))</f>
        <v>Atender ya</v>
      </c>
      <c r="R20" s="34" t="n">
        <f aca="false">J20*K20*(1-IF(N20="N/D",0,N20)*0.5)</f>
        <v>6</v>
      </c>
    </row>
    <row r="21" customFormat="false" ht="78" hidden="false" customHeight="true" outlineLevel="0" collapsed="false">
      <c r="A21" s="29" t="n">
        <v>17</v>
      </c>
      <c r="B21" s="30" t="s">
        <v>179</v>
      </c>
      <c r="C21" s="31" t="s">
        <v>180</v>
      </c>
      <c r="D21" s="31" t="s">
        <v>181</v>
      </c>
      <c r="E21" s="32" t="s">
        <v>127</v>
      </c>
      <c r="F21" s="32" t="s">
        <v>128</v>
      </c>
      <c r="G21" s="33" t="str">
        <f aca="false">IF(J21*K21&gt;=6,"Alto",IF(J21*K21&gt;=3,"Medio","Bajo"))</f>
        <v>Alto</v>
      </c>
      <c r="H21" s="31" t="s">
        <v>182</v>
      </c>
      <c r="J21" s="34" t="n">
        <f aca="false">IF(E21="Alta",3,IF(E21="Media",2,1))</f>
        <v>3</v>
      </c>
      <c r="K21" s="34" t="n">
        <f aca="false">IF(F21="Alto",3,IF(F21="Medio",2,1))</f>
        <v>3</v>
      </c>
      <c r="L21" s="35" t="n">
        <f aca="false">SUMPRODUCT(--ISNUMBER(SEARCH(","&amp;A21&amp;",",","&amp;SUBSTITUTE('Checklist Soporte Documental'!$D$5:$D$33," ","")&amp;",")))</f>
        <v>3</v>
      </c>
      <c r="M21" s="35" t="n">
        <f aca="false">SUMPRODUCT(--ISNUMBER(SEARCH(","&amp;A21&amp;",",","&amp;SUBSTITUTE('Checklist Soporte Documental'!$D$5:$D$33," ","")&amp;","))*('Checklist Soporte Documental'!$E$5:$E$33="Completo"))</f>
        <v>0</v>
      </c>
      <c r="N21" s="36" t="n">
        <f aca="false">IF(L21=0,"N/D",M21/L21)</f>
        <v>0</v>
      </c>
      <c r="O21" s="37" t="str">
        <f aca="false">IF(R21&gt;=6,"Alto",IF(R21&gt;=3,"Medio","Bajo"))</f>
        <v>Alto</v>
      </c>
      <c r="P21" s="35" t="n">
        <f aca="false">RANK(R21,$R$5:$R$23,0)+COUNTIF($R$5:R21,R21)-1</f>
        <v>8</v>
      </c>
      <c r="Q21" s="37" t="str">
        <f aca="false">IF(O21="Alto","Atender ya",IF(O21="Medio","En seguimiento","Controlado"))</f>
        <v>Atender ya</v>
      </c>
      <c r="R21" s="34" t="n">
        <f aca="false">J21*K21*(1-IF(N21="N/D",0,N21)*0.5)</f>
        <v>9</v>
      </c>
    </row>
    <row r="22" customFormat="false" ht="78" hidden="false" customHeight="true" outlineLevel="0" collapsed="false">
      <c r="A22" s="38" t="n">
        <v>18</v>
      </c>
      <c r="B22" s="39" t="s">
        <v>179</v>
      </c>
      <c r="C22" s="40" t="s">
        <v>183</v>
      </c>
      <c r="D22" s="40" t="s">
        <v>184</v>
      </c>
      <c r="E22" s="41" t="s">
        <v>142</v>
      </c>
      <c r="F22" s="41" t="s">
        <v>132</v>
      </c>
      <c r="G22" s="33" t="str">
        <f aca="false">IF(J22*K22&gt;=6,"Alto",IF(J22*K22&gt;=3,"Medio","Bajo"))</f>
        <v>Medio</v>
      </c>
      <c r="H22" s="40" t="s">
        <v>185</v>
      </c>
      <c r="J22" s="34" t="n">
        <f aca="false">IF(E22="Alta",3,IF(E22="Media",2,1))</f>
        <v>2</v>
      </c>
      <c r="K22" s="34" t="n">
        <f aca="false">IF(F22="Alto",3,IF(F22="Medio",2,1))</f>
        <v>2</v>
      </c>
      <c r="L22" s="42" t="n">
        <f aca="false">SUMPRODUCT(--ISNUMBER(SEARCH(","&amp;A22&amp;",",","&amp;SUBSTITUTE('Checklist Soporte Documental'!$D$5:$D$33," ","")&amp;",")))</f>
        <v>2</v>
      </c>
      <c r="M22" s="42" t="n">
        <f aca="false">SUMPRODUCT(--ISNUMBER(SEARCH(","&amp;A22&amp;",",","&amp;SUBSTITUTE('Checklist Soporte Documental'!$D$5:$D$33," ","")&amp;","))*('Checklist Soporte Documental'!$E$5:$E$33="Completo"))</f>
        <v>0</v>
      </c>
      <c r="N22" s="43" t="n">
        <f aca="false">IF(L22=0,"N/D",M22/L22)</f>
        <v>0</v>
      </c>
      <c r="O22" s="37" t="str">
        <f aca="false">IF(R22&gt;=6,"Alto",IF(R22&gt;=3,"Medio","Bajo"))</f>
        <v>Medio</v>
      </c>
      <c r="P22" s="42" t="n">
        <f aca="false">RANK(R22,$R$5:$R$23,0)+COUNTIF($R$5:R22,R22)-1</f>
        <v>19</v>
      </c>
      <c r="Q22" s="37" t="str">
        <f aca="false">IF(O22="Alto","Atender ya",IF(O22="Medio","En seguimiento","Controlado"))</f>
        <v>En seguimiento</v>
      </c>
      <c r="R22" s="34" t="n">
        <f aca="false">J22*K22*(1-IF(N22="N/D",0,N22)*0.5)</f>
        <v>4</v>
      </c>
    </row>
    <row r="23" customFormat="false" ht="78" hidden="false" customHeight="true" outlineLevel="0" collapsed="false">
      <c r="A23" s="29" t="n">
        <v>19</v>
      </c>
      <c r="B23" s="30" t="s">
        <v>179</v>
      </c>
      <c r="C23" s="31" t="s">
        <v>186</v>
      </c>
      <c r="D23" s="31" t="s">
        <v>187</v>
      </c>
      <c r="E23" s="32" t="s">
        <v>127</v>
      </c>
      <c r="F23" s="32" t="s">
        <v>128</v>
      </c>
      <c r="G23" s="33" t="str">
        <f aca="false">IF(J23*K23&gt;=6,"Alto",IF(J23*K23&gt;=3,"Medio","Bajo"))</f>
        <v>Alto</v>
      </c>
      <c r="H23" s="31" t="s">
        <v>188</v>
      </c>
      <c r="J23" s="34" t="n">
        <f aca="false">IF(E23="Alta",3,IF(E23="Media",2,1))</f>
        <v>3</v>
      </c>
      <c r="K23" s="34" t="n">
        <f aca="false">IF(F23="Alto",3,IF(F23="Medio",2,1))</f>
        <v>3</v>
      </c>
      <c r="L23" s="35" t="n">
        <f aca="false">SUMPRODUCT(--ISNUMBER(SEARCH(","&amp;A23&amp;",",","&amp;SUBSTITUTE('Checklist Soporte Documental'!$D$5:$D$33," ","")&amp;",")))</f>
        <v>4</v>
      </c>
      <c r="M23" s="35" t="n">
        <f aca="false">SUMPRODUCT(--ISNUMBER(SEARCH(","&amp;A23&amp;",",","&amp;SUBSTITUTE('Checklist Soporte Documental'!$D$5:$D$33," ","")&amp;","))*('Checklist Soporte Documental'!$E$5:$E$33="Completo"))</f>
        <v>0</v>
      </c>
      <c r="N23" s="36" t="n">
        <f aca="false">IF(L23=0,"N/D",M23/L23)</f>
        <v>0</v>
      </c>
      <c r="O23" s="37" t="str">
        <f aca="false">IF(R23&gt;=6,"Alto",IF(R23&gt;=3,"Medio","Bajo"))</f>
        <v>Alto</v>
      </c>
      <c r="P23" s="35" t="n">
        <f aca="false">RANK(R23,$R$5:$R$23,0)+COUNTIF($R$5:R23,R23)-1</f>
        <v>9</v>
      </c>
      <c r="Q23" s="37" t="str">
        <f aca="false">IF(O23="Alto","Atender ya",IF(O23="Medio","En seguimiento","Controlado"))</f>
        <v>Atender ya</v>
      </c>
      <c r="R23" s="34" t="n">
        <f aca="false">J23*K23*(1-IF(N23="N/D",0,N23)*0.5)</f>
        <v>9</v>
      </c>
    </row>
  </sheetData>
  <autoFilter ref="A4:Q23"/>
  <mergeCells count="5">
    <mergeCell ref="A1:O1"/>
    <mergeCell ref="P1:Q1"/>
    <mergeCell ref="A2:Q2"/>
    <mergeCell ref="A3:F3"/>
    <mergeCell ref="G3:Q3"/>
  </mergeCells>
  <conditionalFormatting sqref="G5:G23">
    <cfRule type="cellIs" priority="2" operator="equal" aboveAverage="0" equalAverage="0" bottom="0" percent="0" rank="0" text="" dxfId="11">
      <formula>"Alto"</formula>
    </cfRule>
    <cfRule type="cellIs" priority="3" operator="equal" aboveAverage="0" equalAverage="0" bottom="0" percent="0" rank="0" text="" dxfId="12">
      <formula>"Medio"</formula>
    </cfRule>
    <cfRule type="cellIs" priority="4" operator="equal" aboveAverage="0" equalAverage="0" bottom="0" percent="0" rank="0" text="" dxfId="13">
      <formula>"Bajo"</formula>
    </cfRule>
  </conditionalFormatting>
  <conditionalFormatting sqref="O5:O23">
    <cfRule type="cellIs" priority="5" operator="equal" aboveAverage="0" equalAverage="0" bottom="0" percent="0" rank="0" text="" dxfId="11">
      <formula>"Alto"</formula>
    </cfRule>
    <cfRule type="cellIs" priority="6" operator="equal" aboveAverage="0" equalAverage="0" bottom="0" percent="0" rank="0" text="" dxfId="12">
      <formula>"Medio"</formula>
    </cfRule>
    <cfRule type="cellIs" priority="7" operator="equal" aboveAverage="0" equalAverage="0" bottom="0" percent="0" rank="0" text="" dxfId="13">
      <formula>"Bajo"</formula>
    </cfRule>
  </conditionalFormatting>
  <conditionalFormatting sqref="Q5:Q23">
    <cfRule type="cellIs" priority="8" operator="equal" aboveAverage="0" equalAverage="0" bottom="0" percent="0" rank="0" text="" dxfId="11">
      <formula>"Atender ya"</formula>
    </cfRule>
    <cfRule type="cellIs" priority="9" operator="equal" aboveAverage="0" equalAverage="0" bottom="0" percent="0" rank="0" text="" dxfId="12">
      <formula>"En seguimiento"</formula>
    </cfRule>
    <cfRule type="cellIs" priority="10" operator="equal" aboveAverage="0" equalAverage="0" bottom="0" percent="0" rank="0" text="" dxfId="13">
      <formula>"Controlado"</formula>
    </cfRule>
  </conditionalFormatting>
  <dataValidations count="2">
    <dataValidation allowBlank="false" errorStyle="stop" operator="between" prompt="¿Qué tan frecuente es este riesgo? Elige Alta, Media o Baja." promptTitle="Probabilidad" showDropDown="false" showErrorMessage="false" showInputMessage="true" sqref="E5:E23" type="list">
      <formula1>"Alta,Media,Baja"</formula1>
      <formula2>0</formula2>
    </dataValidation>
    <dataValidation allowBlank="false" errorStyle="stop" operator="between" prompt="Si el riesgo se materializa, ¿qué tan grave sería? Elige Alto, Medio o Bajo." promptTitle="Impacto" showDropDown="false" showErrorMessage="false" showInputMessage="true" sqref="F5:F23" type="list">
      <formula1>"Alto,Medio,Bajo"</formula1>
      <formula2>0</formula2>
    </dataValidation>
  </dataValidations>
  <hyperlinks>
    <hyperlink ref="P1" r:id="rId1" location="'Inicio'!A1" display="🏠 Inicio"/>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3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4" topLeftCell="A5"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5"/>
    <col collapsed="false" customWidth="true" hidden="false" outlineLevel="0" max="2" min="2" style="0" width="26"/>
    <col collapsed="false" customWidth="true" hidden="false" outlineLevel="0" max="3" min="3" style="0" width="50"/>
    <col collapsed="false" customWidth="true" hidden="false" outlineLevel="0" max="4" min="4" style="0" width="14"/>
    <col collapsed="false" customWidth="true" hidden="false" outlineLevel="0" max="5" min="5" style="0" width="13"/>
    <col collapsed="false" customWidth="true" hidden="false" outlineLevel="0" max="6" min="6" style="0" width="30"/>
    <col collapsed="false" customWidth="true" hidden="false" outlineLevel="0" max="7" min="7" style="0" width="13"/>
    <col collapsed="false" customWidth="true" hidden="false" outlineLevel="0" max="8" min="8" style="0" width="12"/>
    <col collapsed="false" customWidth="true" hidden="true" outlineLevel="0" max="9" min="9" style="0" width="13"/>
  </cols>
  <sheetData>
    <row r="1" customFormat="false" ht="33.75" hidden="false" customHeight="true" outlineLevel="0" collapsed="false">
      <c r="A1" s="24" t="s">
        <v>189</v>
      </c>
      <c r="B1" s="24"/>
      <c r="C1" s="24"/>
      <c r="D1" s="24"/>
      <c r="E1" s="24"/>
      <c r="F1" s="24"/>
      <c r="G1" s="24"/>
      <c r="H1" s="14" t="s">
        <v>32</v>
      </c>
    </row>
    <row r="2" customFormat="false" ht="19.5" hidden="false" customHeight="true" outlineLevel="0" collapsed="false">
      <c r="A2" s="26" t="s">
        <v>190</v>
      </c>
      <c r="B2" s="26"/>
      <c r="C2" s="26"/>
      <c r="D2" s="26"/>
      <c r="E2" s="26"/>
      <c r="F2" s="26"/>
      <c r="G2" s="26"/>
      <c r="H2" s="26"/>
    </row>
    <row r="3" customFormat="false" ht="6" hidden="false" customHeight="true" outlineLevel="0" collapsed="false"/>
    <row r="4" customFormat="false" ht="31.5" hidden="false" customHeight="true" outlineLevel="0" collapsed="false">
      <c r="A4" s="28" t="s">
        <v>108</v>
      </c>
      <c r="B4" s="28" t="s">
        <v>109</v>
      </c>
      <c r="C4" s="28" t="s">
        <v>191</v>
      </c>
      <c r="D4" s="28" t="s">
        <v>192</v>
      </c>
      <c r="E4" s="28" t="s">
        <v>193</v>
      </c>
      <c r="F4" s="28" t="s">
        <v>194</v>
      </c>
      <c r="G4" s="28" t="s">
        <v>195</v>
      </c>
      <c r="H4" s="28" t="s">
        <v>196</v>
      </c>
    </row>
    <row r="5" customFormat="false" ht="33.75" hidden="false" customHeight="true" outlineLevel="0" collapsed="false">
      <c r="A5" s="29" t="n">
        <v>1</v>
      </c>
      <c r="B5" s="30" t="s">
        <v>124</v>
      </c>
      <c r="C5" s="31" t="s">
        <v>197</v>
      </c>
      <c r="D5" s="32" t="s">
        <v>2</v>
      </c>
      <c r="E5" s="44" t="s">
        <v>198</v>
      </c>
      <c r="F5" s="31"/>
      <c r="G5" s="45"/>
      <c r="H5" s="32" t="str">
        <f aca="true">IF(AND(G5&lt;&gt;"",E5&lt;&gt;"Completo",E5&lt;&gt;"No aplica",TODAY()&gt;G5),"⚠ VENCIDO","")</f>
        <v/>
      </c>
      <c r="I5" s="0" t="str">
        <f aca="false">IF(H5="⚠ VENCIDO",COUNTIF($H$5:H5,"⚠ VENCIDO"),"")</f>
        <v/>
      </c>
    </row>
    <row r="6" customFormat="false" ht="33.75" hidden="false" customHeight="true" outlineLevel="0" collapsed="false">
      <c r="A6" s="38" t="n">
        <v>2</v>
      </c>
      <c r="B6" s="39" t="s">
        <v>124</v>
      </c>
      <c r="C6" s="40" t="s">
        <v>199</v>
      </c>
      <c r="D6" s="41" t="s">
        <v>200</v>
      </c>
      <c r="E6" s="44" t="s">
        <v>198</v>
      </c>
      <c r="F6" s="40"/>
      <c r="G6" s="45"/>
      <c r="H6" s="41" t="str">
        <f aca="true">IF(AND(G6&lt;&gt;"",E6&lt;&gt;"Completo",E6&lt;&gt;"No aplica",TODAY()&gt;G6),"⚠ VENCIDO","")</f>
        <v/>
      </c>
      <c r="I6" s="0" t="str">
        <f aca="false">IF(H6="⚠ VENCIDO",COUNTIF($H$5:H6,"⚠ VENCIDO"),"")</f>
        <v/>
      </c>
    </row>
    <row r="7" customFormat="false" ht="33.75" hidden="false" customHeight="true" outlineLevel="0" collapsed="false">
      <c r="A7" s="29" t="n">
        <v>3</v>
      </c>
      <c r="B7" s="30" t="s">
        <v>124</v>
      </c>
      <c r="C7" s="31" t="s">
        <v>201</v>
      </c>
      <c r="D7" s="32" t="s">
        <v>200</v>
      </c>
      <c r="E7" s="44" t="s">
        <v>198</v>
      </c>
      <c r="F7" s="31"/>
      <c r="G7" s="45"/>
      <c r="H7" s="32" t="str">
        <f aca="true">IF(AND(G7&lt;&gt;"",E7&lt;&gt;"Completo",E7&lt;&gt;"No aplica",TODAY()&gt;G7),"⚠ VENCIDO","")</f>
        <v/>
      </c>
      <c r="I7" s="0" t="str">
        <f aca="false">IF(H7="⚠ VENCIDO",COUNTIF($H$5:H7,"⚠ VENCIDO"),"")</f>
        <v/>
      </c>
    </row>
    <row r="8" customFormat="false" ht="33.75" hidden="false" customHeight="true" outlineLevel="0" collapsed="false">
      <c r="A8" s="38" t="n">
        <v>4</v>
      </c>
      <c r="B8" s="39" t="s">
        <v>124</v>
      </c>
      <c r="C8" s="40" t="s">
        <v>202</v>
      </c>
      <c r="D8" s="41" t="s">
        <v>203</v>
      </c>
      <c r="E8" s="44" t="s">
        <v>198</v>
      </c>
      <c r="F8" s="40"/>
      <c r="G8" s="45"/>
      <c r="H8" s="41" t="str">
        <f aca="true">IF(AND(G8&lt;&gt;"",E8&lt;&gt;"Completo",E8&lt;&gt;"No aplica",TODAY()&gt;G8),"⚠ VENCIDO","")</f>
        <v/>
      </c>
      <c r="I8" s="0" t="str">
        <f aca="false">IF(H8="⚠ VENCIDO",COUNTIF($H$5:H8,"⚠ VENCIDO"),"")</f>
        <v/>
      </c>
    </row>
    <row r="9" customFormat="false" ht="33.75" hidden="false" customHeight="true" outlineLevel="0" collapsed="false">
      <c r="A9" s="29" t="n">
        <v>5</v>
      </c>
      <c r="B9" s="30" t="s">
        <v>124</v>
      </c>
      <c r="C9" s="31" t="s">
        <v>204</v>
      </c>
      <c r="D9" s="32" t="s">
        <v>4</v>
      </c>
      <c r="E9" s="44" t="s">
        <v>198</v>
      </c>
      <c r="F9" s="31"/>
      <c r="G9" s="45"/>
      <c r="H9" s="32" t="str">
        <f aca="true">IF(AND(G9&lt;&gt;"",E9&lt;&gt;"Completo",E9&lt;&gt;"No aplica",TODAY()&gt;G9),"⚠ VENCIDO","")</f>
        <v/>
      </c>
      <c r="I9" s="0" t="str">
        <f aca="false">IF(H9="⚠ VENCIDO",COUNTIF($H$5:H9,"⚠ VENCIDO"),"")</f>
        <v/>
      </c>
    </row>
    <row r="10" customFormat="false" ht="33.75" hidden="false" customHeight="true" outlineLevel="0" collapsed="false">
      <c r="A10" s="38" t="n">
        <v>6</v>
      </c>
      <c r="B10" s="39" t="s">
        <v>124</v>
      </c>
      <c r="C10" s="40" t="s">
        <v>205</v>
      </c>
      <c r="D10" s="41" t="s">
        <v>206</v>
      </c>
      <c r="E10" s="44" t="s">
        <v>198</v>
      </c>
      <c r="F10" s="40"/>
      <c r="G10" s="45"/>
      <c r="H10" s="41" t="str">
        <f aca="true">IF(AND(G10&lt;&gt;"",E10&lt;&gt;"Completo",E10&lt;&gt;"No aplica",TODAY()&gt;G10),"⚠ VENCIDO","")</f>
        <v/>
      </c>
      <c r="I10" s="0" t="str">
        <f aca="false">IF(H10="⚠ VENCIDO",COUNTIF($H$5:H10,"⚠ VENCIDO"),"")</f>
        <v/>
      </c>
    </row>
    <row r="11" customFormat="false" ht="33.75" hidden="false" customHeight="true" outlineLevel="0" collapsed="false">
      <c r="A11" s="29" t="n">
        <v>7</v>
      </c>
      <c r="B11" s="30" t="s">
        <v>124</v>
      </c>
      <c r="C11" s="31" t="s">
        <v>207</v>
      </c>
      <c r="D11" s="32" t="s">
        <v>208</v>
      </c>
      <c r="E11" s="44" t="s">
        <v>198</v>
      </c>
      <c r="F11" s="31"/>
      <c r="G11" s="45"/>
      <c r="H11" s="32" t="str">
        <f aca="true">IF(AND(G11&lt;&gt;"",E11&lt;&gt;"Completo",E11&lt;&gt;"No aplica",TODAY()&gt;G11),"⚠ VENCIDO","")</f>
        <v/>
      </c>
      <c r="I11" s="0" t="str">
        <f aca="false">IF(H11="⚠ VENCIDO",COUNTIF($H$5:H11,"⚠ VENCIDO"),"")</f>
        <v/>
      </c>
    </row>
    <row r="12" customFormat="false" ht="33.75" hidden="false" customHeight="true" outlineLevel="0" collapsed="false">
      <c r="A12" s="38" t="n">
        <v>8</v>
      </c>
      <c r="B12" s="39" t="s">
        <v>124</v>
      </c>
      <c r="C12" s="40" t="s">
        <v>209</v>
      </c>
      <c r="D12" s="41" t="s">
        <v>6</v>
      </c>
      <c r="E12" s="44" t="s">
        <v>198</v>
      </c>
      <c r="F12" s="40"/>
      <c r="G12" s="45"/>
      <c r="H12" s="41" t="str">
        <f aca="true">IF(AND(G12&lt;&gt;"",E12&lt;&gt;"Completo",E12&lt;&gt;"No aplica",TODAY()&gt;G12),"⚠ VENCIDO","")</f>
        <v/>
      </c>
      <c r="I12" s="0" t="str">
        <f aca="false">IF(H12="⚠ VENCIDO",COUNTIF($H$5:H12,"⚠ VENCIDO"),"")</f>
        <v/>
      </c>
    </row>
    <row r="13" customFormat="false" ht="33.75" hidden="false" customHeight="true" outlineLevel="0" collapsed="false">
      <c r="A13" s="29" t="n">
        <v>9</v>
      </c>
      <c r="B13" s="30" t="s">
        <v>124</v>
      </c>
      <c r="C13" s="31" t="s">
        <v>210</v>
      </c>
      <c r="D13" s="32" t="s">
        <v>211</v>
      </c>
      <c r="E13" s="44" t="s">
        <v>198</v>
      </c>
      <c r="F13" s="31"/>
      <c r="G13" s="45"/>
      <c r="H13" s="32" t="str">
        <f aca="true">IF(AND(G13&lt;&gt;"",E13&lt;&gt;"Completo",E13&lt;&gt;"No aplica",TODAY()&gt;G13),"⚠ VENCIDO","")</f>
        <v/>
      </c>
      <c r="I13" s="0" t="str">
        <f aca="false">IF(H13="⚠ VENCIDO",COUNTIF($H$5:H13,"⚠ VENCIDO"),"")</f>
        <v/>
      </c>
    </row>
    <row r="14" customFormat="false" ht="33.75" hidden="false" customHeight="true" outlineLevel="0" collapsed="false">
      <c r="A14" s="38" t="n">
        <v>10</v>
      </c>
      <c r="B14" s="39" t="s">
        <v>124</v>
      </c>
      <c r="C14" s="40" t="s">
        <v>212</v>
      </c>
      <c r="D14" s="41" t="s">
        <v>213</v>
      </c>
      <c r="E14" s="44" t="s">
        <v>198</v>
      </c>
      <c r="F14" s="40"/>
      <c r="G14" s="45"/>
      <c r="H14" s="41" t="str">
        <f aca="true">IF(AND(G14&lt;&gt;"",E14&lt;&gt;"Completo",E14&lt;&gt;"No aplica",TODAY()&gt;G14),"⚠ VENCIDO","")</f>
        <v/>
      </c>
      <c r="I14" s="0" t="str">
        <f aca="false">IF(H14="⚠ VENCIDO",COUNTIF($H$5:H14,"⚠ VENCIDO"),"")</f>
        <v/>
      </c>
    </row>
    <row r="15" customFormat="false" ht="33.75" hidden="false" customHeight="true" outlineLevel="0" collapsed="false">
      <c r="A15" s="29" t="n">
        <v>11</v>
      </c>
      <c r="B15" s="30" t="s">
        <v>144</v>
      </c>
      <c r="C15" s="31" t="s">
        <v>214</v>
      </c>
      <c r="D15" s="32" t="s">
        <v>215</v>
      </c>
      <c r="E15" s="44" t="s">
        <v>198</v>
      </c>
      <c r="F15" s="31"/>
      <c r="G15" s="45"/>
      <c r="H15" s="32" t="str">
        <f aca="true">IF(AND(G15&lt;&gt;"",E15&lt;&gt;"Completo",E15&lt;&gt;"No aplica",TODAY()&gt;G15),"⚠ VENCIDO","")</f>
        <v/>
      </c>
      <c r="I15" s="0" t="str">
        <f aca="false">IF(H15="⚠ VENCIDO",COUNTIF($H$5:H15,"⚠ VENCIDO"),"")</f>
        <v/>
      </c>
    </row>
    <row r="16" customFormat="false" ht="33.75" hidden="false" customHeight="true" outlineLevel="0" collapsed="false">
      <c r="A16" s="38" t="n">
        <v>12</v>
      </c>
      <c r="B16" s="39" t="s">
        <v>144</v>
      </c>
      <c r="C16" s="40" t="s">
        <v>216</v>
      </c>
      <c r="D16" s="41" t="s">
        <v>217</v>
      </c>
      <c r="E16" s="44" t="s">
        <v>198</v>
      </c>
      <c r="F16" s="40"/>
      <c r="G16" s="45"/>
      <c r="H16" s="41" t="str">
        <f aca="true">IF(AND(G16&lt;&gt;"",E16&lt;&gt;"Completo",E16&lt;&gt;"No aplica",TODAY()&gt;G16),"⚠ VENCIDO","")</f>
        <v/>
      </c>
      <c r="I16" s="0" t="str">
        <f aca="false">IF(H16="⚠ VENCIDO",COUNTIF($H$5:H16,"⚠ VENCIDO"),"")</f>
        <v/>
      </c>
    </row>
    <row r="17" customFormat="false" ht="33.75" hidden="false" customHeight="true" outlineLevel="0" collapsed="false">
      <c r="A17" s="29" t="n">
        <v>13</v>
      </c>
      <c r="B17" s="30" t="s">
        <v>144</v>
      </c>
      <c r="C17" s="31" t="s">
        <v>218</v>
      </c>
      <c r="D17" s="32" t="s">
        <v>219</v>
      </c>
      <c r="E17" s="44" t="s">
        <v>198</v>
      </c>
      <c r="F17" s="31"/>
      <c r="G17" s="45"/>
      <c r="H17" s="32" t="str">
        <f aca="true">IF(AND(G17&lt;&gt;"",E17&lt;&gt;"Completo",E17&lt;&gt;"No aplica",TODAY()&gt;G17),"⚠ VENCIDO","")</f>
        <v/>
      </c>
      <c r="I17" s="0" t="str">
        <f aca="false">IF(H17="⚠ VENCIDO",COUNTIF($H$5:H17,"⚠ VENCIDO"),"")</f>
        <v/>
      </c>
    </row>
    <row r="18" customFormat="false" ht="33.75" hidden="false" customHeight="true" outlineLevel="0" collapsed="false">
      <c r="A18" s="38" t="n">
        <v>14</v>
      </c>
      <c r="B18" s="39" t="s">
        <v>144</v>
      </c>
      <c r="C18" s="40" t="s">
        <v>220</v>
      </c>
      <c r="D18" s="41" t="s">
        <v>221</v>
      </c>
      <c r="E18" s="44" t="s">
        <v>198</v>
      </c>
      <c r="F18" s="40"/>
      <c r="G18" s="45"/>
      <c r="H18" s="41" t="str">
        <f aca="true">IF(AND(G18&lt;&gt;"",E18&lt;&gt;"Completo",E18&lt;&gt;"No aplica",TODAY()&gt;G18),"⚠ VENCIDO","")</f>
        <v/>
      </c>
      <c r="I18" s="0" t="str">
        <f aca="false">IF(H18="⚠ VENCIDO",COUNTIF($H$5:H18,"⚠ VENCIDO"),"")</f>
        <v/>
      </c>
    </row>
    <row r="19" customFormat="false" ht="33.75" hidden="false" customHeight="true" outlineLevel="0" collapsed="false">
      <c r="A19" s="29" t="n">
        <v>15</v>
      </c>
      <c r="B19" s="30" t="s">
        <v>144</v>
      </c>
      <c r="C19" s="31" t="s">
        <v>222</v>
      </c>
      <c r="D19" s="32" t="s">
        <v>223</v>
      </c>
      <c r="E19" s="44" t="s">
        <v>198</v>
      </c>
      <c r="F19" s="31"/>
      <c r="G19" s="45"/>
      <c r="H19" s="32" t="str">
        <f aca="true">IF(AND(G19&lt;&gt;"",E19&lt;&gt;"Completo",E19&lt;&gt;"No aplica",TODAY()&gt;G19),"⚠ VENCIDO","")</f>
        <v/>
      </c>
      <c r="I19" s="0" t="str">
        <f aca="false">IF(H19="⚠ VENCIDO",COUNTIF($H$5:H19,"⚠ VENCIDO"),"")</f>
        <v/>
      </c>
    </row>
    <row r="20" customFormat="false" ht="33.75" hidden="false" customHeight="true" outlineLevel="0" collapsed="false">
      <c r="A20" s="38" t="n">
        <v>16</v>
      </c>
      <c r="B20" s="39" t="s">
        <v>144</v>
      </c>
      <c r="C20" s="40" t="s">
        <v>224</v>
      </c>
      <c r="D20" s="41" t="s">
        <v>225</v>
      </c>
      <c r="E20" s="44" t="s">
        <v>198</v>
      </c>
      <c r="F20" s="40"/>
      <c r="G20" s="45"/>
      <c r="H20" s="41" t="str">
        <f aca="true">IF(AND(G20&lt;&gt;"",E20&lt;&gt;"Completo",E20&lt;&gt;"No aplica",TODAY()&gt;G20),"⚠ VENCIDO","")</f>
        <v/>
      </c>
      <c r="I20" s="0" t="str">
        <f aca="false">IF(H20="⚠ VENCIDO",COUNTIF($H$5:H20,"⚠ VENCIDO"),"")</f>
        <v/>
      </c>
    </row>
    <row r="21" customFormat="false" ht="33.75" hidden="false" customHeight="true" outlineLevel="0" collapsed="false">
      <c r="A21" s="29" t="n">
        <v>17</v>
      </c>
      <c r="B21" s="30" t="s">
        <v>144</v>
      </c>
      <c r="C21" s="31" t="s">
        <v>226</v>
      </c>
      <c r="D21" s="32" t="s">
        <v>225</v>
      </c>
      <c r="E21" s="44" t="s">
        <v>198</v>
      </c>
      <c r="F21" s="31"/>
      <c r="G21" s="45"/>
      <c r="H21" s="32" t="str">
        <f aca="true">IF(AND(G21&lt;&gt;"",E21&lt;&gt;"Completo",E21&lt;&gt;"No aplica",TODAY()&gt;G21),"⚠ VENCIDO","")</f>
        <v/>
      </c>
      <c r="I21" s="0" t="str">
        <f aca="false">IF(H21="⚠ VENCIDO",COUNTIF($H$5:H21,"⚠ VENCIDO"),"")</f>
        <v/>
      </c>
    </row>
    <row r="22" customFormat="false" ht="33.75" hidden="false" customHeight="true" outlineLevel="0" collapsed="false">
      <c r="A22" s="38" t="n">
        <v>18</v>
      </c>
      <c r="B22" s="39" t="s">
        <v>144</v>
      </c>
      <c r="C22" s="40" t="s">
        <v>227</v>
      </c>
      <c r="D22" s="41" t="s">
        <v>228</v>
      </c>
      <c r="E22" s="44" t="s">
        <v>198</v>
      </c>
      <c r="F22" s="40"/>
      <c r="G22" s="45"/>
      <c r="H22" s="41" t="str">
        <f aca="true">IF(AND(G22&lt;&gt;"",E22&lt;&gt;"Completo",E22&lt;&gt;"No aplica",TODAY()&gt;G22),"⚠ VENCIDO","")</f>
        <v/>
      </c>
      <c r="I22" s="0" t="str">
        <f aca="false">IF(H22="⚠ VENCIDO",COUNTIF($H$5:H22,"⚠ VENCIDO"),"")</f>
        <v/>
      </c>
    </row>
    <row r="23" customFormat="false" ht="33.75" hidden="false" customHeight="true" outlineLevel="0" collapsed="false">
      <c r="A23" s="29" t="n">
        <v>19</v>
      </c>
      <c r="B23" s="30" t="s">
        <v>166</v>
      </c>
      <c r="C23" s="31" t="s">
        <v>229</v>
      </c>
      <c r="D23" s="32" t="s">
        <v>230</v>
      </c>
      <c r="E23" s="44" t="s">
        <v>198</v>
      </c>
      <c r="F23" s="31"/>
      <c r="G23" s="45"/>
      <c r="H23" s="32" t="str">
        <f aca="true">IF(AND(G23&lt;&gt;"",E23&lt;&gt;"Completo",E23&lt;&gt;"No aplica",TODAY()&gt;G23),"⚠ VENCIDO","")</f>
        <v/>
      </c>
      <c r="I23" s="0" t="str">
        <f aca="false">IF(H23="⚠ VENCIDO",COUNTIF($H$5:H23,"⚠ VENCIDO"),"")</f>
        <v/>
      </c>
    </row>
    <row r="24" customFormat="false" ht="33.75" hidden="false" customHeight="true" outlineLevel="0" collapsed="false">
      <c r="A24" s="38" t="n">
        <v>20</v>
      </c>
      <c r="B24" s="39" t="s">
        <v>166</v>
      </c>
      <c r="C24" s="40" t="s">
        <v>231</v>
      </c>
      <c r="D24" s="41" t="s">
        <v>230</v>
      </c>
      <c r="E24" s="44" t="s">
        <v>198</v>
      </c>
      <c r="F24" s="40"/>
      <c r="G24" s="45"/>
      <c r="H24" s="41" t="str">
        <f aca="true">IF(AND(G24&lt;&gt;"",E24&lt;&gt;"Completo",E24&lt;&gt;"No aplica",TODAY()&gt;G24),"⚠ VENCIDO","")</f>
        <v/>
      </c>
      <c r="I24" s="0" t="str">
        <f aca="false">IF(H24="⚠ VENCIDO",COUNTIF($H$5:H24,"⚠ VENCIDO"),"")</f>
        <v/>
      </c>
    </row>
    <row r="25" customFormat="false" ht="33.75" hidden="false" customHeight="true" outlineLevel="0" collapsed="false">
      <c r="A25" s="29" t="n">
        <v>21</v>
      </c>
      <c r="B25" s="30" t="s">
        <v>166</v>
      </c>
      <c r="C25" s="31" t="s">
        <v>232</v>
      </c>
      <c r="D25" s="32" t="s">
        <v>233</v>
      </c>
      <c r="E25" s="44" t="s">
        <v>198</v>
      </c>
      <c r="F25" s="31"/>
      <c r="G25" s="45"/>
      <c r="H25" s="32" t="str">
        <f aca="true">IF(AND(G25&lt;&gt;"",E25&lt;&gt;"Completo",E25&lt;&gt;"No aplica",TODAY()&gt;G25),"⚠ VENCIDO","")</f>
        <v/>
      </c>
      <c r="I25" s="0" t="str">
        <f aca="false">IF(H25="⚠ VENCIDO",COUNTIF($H$5:H25,"⚠ VENCIDO"),"")</f>
        <v/>
      </c>
    </row>
    <row r="26" customFormat="false" ht="33.75" hidden="false" customHeight="true" outlineLevel="0" collapsed="false">
      <c r="A26" s="38" t="n">
        <v>22</v>
      </c>
      <c r="B26" s="39" t="s">
        <v>166</v>
      </c>
      <c r="C26" s="40" t="s">
        <v>234</v>
      </c>
      <c r="D26" s="41" t="s">
        <v>235</v>
      </c>
      <c r="E26" s="44" t="s">
        <v>198</v>
      </c>
      <c r="F26" s="40"/>
      <c r="G26" s="45"/>
      <c r="H26" s="41" t="str">
        <f aca="true">IF(AND(G26&lt;&gt;"",E26&lt;&gt;"Completo",E26&lt;&gt;"No aplica",TODAY()&gt;G26),"⚠ VENCIDO","")</f>
        <v/>
      </c>
      <c r="I26" s="0" t="str">
        <f aca="false">IF(H26="⚠ VENCIDO",COUNTIF($H$5:H26,"⚠ VENCIDO"),"")</f>
        <v/>
      </c>
    </row>
    <row r="27" customFormat="false" ht="33.75" hidden="false" customHeight="true" outlineLevel="0" collapsed="false">
      <c r="A27" s="29" t="n">
        <v>23</v>
      </c>
      <c r="B27" s="30" t="s">
        <v>166</v>
      </c>
      <c r="C27" s="31" t="s">
        <v>236</v>
      </c>
      <c r="D27" s="32" t="s">
        <v>237</v>
      </c>
      <c r="E27" s="44" t="s">
        <v>198</v>
      </c>
      <c r="F27" s="31"/>
      <c r="G27" s="45"/>
      <c r="H27" s="32" t="str">
        <f aca="true">IF(AND(G27&lt;&gt;"",E27&lt;&gt;"Completo",E27&lt;&gt;"No aplica",TODAY()&gt;G27),"⚠ VENCIDO","")</f>
        <v/>
      </c>
      <c r="I27" s="0" t="str">
        <f aca="false">IF(H27="⚠ VENCIDO",COUNTIF($H$5:H27,"⚠ VENCIDO"),"")</f>
        <v/>
      </c>
    </row>
    <row r="28" customFormat="false" ht="33.75" hidden="false" customHeight="true" outlineLevel="0" collapsed="false">
      <c r="A28" s="38" t="n">
        <v>24</v>
      </c>
      <c r="B28" s="39" t="s">
        <v>179</v>
      </c>
      <c r="C28" s="40" t="s">
        <v>238</v>
      </c>
      <c r="D28" s="41" t="s">
        <v>239</v>
      </c>
      <c r="E28" s="44" t="s">
        <v>198</v>
      </c>
      <c r="F28" s="40"/>
      <c r="G28" s="45"/>
      <c r="H28" s="41" t="str">
        <f aca="true">IF(AND(G28&lt;&gt;"",E28&lt;&gt;"Completo",E28&lt;&gt;"No aplica",TODAY()&gt;G28),"⚠ VENCIDO","")</f>
        <v/>
      </c>
      <c r="I28" s="0" t="str">
        <f aca="false">IF(H28="⚠ VENCIDO",COUNTIF($H$5:H28,"⚠ VENCIDO"),"")</f>
        <v/>
      </c>
    </row>
    <row r="29" customFormat="false" ht="33.75" hidden="false" customHeight="true" outlineLevel="0" collapsed="false">
      <c r="A29" s="29" t="n">
        <v>25</v>
      </c>
      <c r="B29" s="30" t="s">
        <v>179</v>
      </c>
      <c r="C29" s="31" t="s">
        <v>240</v>
      </c>
      <c r="D29" s="32" t="s">
        <v>239</v>
      </c>
      <c r="E29" s="44" t="s">
        <v>198</v>
      </c>
      <c r="F29" s="31"/>
      <c r="G29" s="45"/>
      <c r="H29" s="32" t="str">
        <f aca="true">IF(AND(G29&lt;&gt;"",E29&lt;&gt;"Completo",E29&lt;&gt;"No aplica",TODAY()&gt;G29),"⚠ VENCIDO","")</f>
        <v/>
      </c>
      <c r="I29" s="0" t="str">
        <f aca="false">IF(H29="⚠ VENCIDO",COUNTIF($H$5:H29,"⚠ VENCIDO"),"")</f>
        <v/>
      </c>
    </row>
    <row r="30" customFormat="false" ht="33.75" hidden="false" customHeight="true" outlineLevel="0" collapsed="false">
      <c r="A30" s="38" t="n">
        <v>26</v>
      </c>
      <c r="B30" s="39" t="s">
        <v>179</v>
      </c>
      <c r="C30" s="40" t="s">
        <v>241</v>
      </c>
      <c r="D30" s="41" t="s">
        <v>239</v>
      </c>
      <c r="E30" s="44" t="s">
        <v>198</v>
      </c>
      <c r="F30" s="40"/>
      <c r="G30" s="45"/>
      <c r="H30" s="41" t="str">
        <f aca="true">IF(AND(G30&lt;&gt;"",E30&lt;&gt;"Completo",E30&lt;&gt;"No aplica",TODAY()&gt;G30),"⚠ VENCIDO","")</f>
        <v/>
      </c>
      <c r="I30" s="0" t="str">
        <f aca="false">IF(H30="⚠ VENCIDO",COUNTIF($H$5:H30,"⚠ VENCIDO"),"")</f>
        <v/>
      </c>
    </row>
    <row r="31" customFormat="false" ht="33.75" hidden="false" customHeight="true" outlineLevel="0" collapsed="false">
      <c r="A31" s="29" t="n">
        <v>27</v>
      </c>
      <c r="B31" s="30" t="s">
        <v>179</v>
      </c>
      <c r="C31" s="31" t="s">
        <v>242</v>
      </c>
      <c r="D31" s="32" t="s">
        <v>243</v>
      </c>
      <c r="E31" s="44" t="s">
        <v>198</v>
      </c>
      <c r="F31" s="31"/>
      <c r="G31" s="45"/>
      <c r="H31" s="32" t="str">
        <f aca="true">IF(AND(G31&lt;&gt;"",E31&lt;&gt;"Completo",E31&lt;&gt;"No aplica",TODAY()&gt;G31),"⚠ VENCIDO","")</f>
        <v/>
      </c>
      <c r="I31" s="0" t="str">
        <f aca="false">IF(H31="⚠ VENCIDO",COUNTIF($H$5:H31,"⚠ VENCIDO"),"")</f>
        <v/>
      </c>
    </row>
    <row r="32" customFormat="false" ht="33.75" hidden="false" customHeight="true" outlineLevel="0" collapsed="false">
      <c r="A32" s="38" t="n">
        <v>28</v>
      </c>
      <c r="B32" s="39" t="s">
        <v>179</v>
      </c>
      <c r="C32" s="40" t="s">
        <v>244</v>
      </c>
      <c r="D32" s="41" t="s">
        <v>243</v>
      </c>
      <c r="E32" s="44" t="s">
        <v>198</v>
      </c>
      <c r="F32" s="40"/>
      <c r="G32" s="45"/>
      <c r="H32" s="41" t="str">
        <f aca="true">IF(AND(G32&lt;&gt;"",E32&lt;&gt;"Completo",E32&lt;&gt;"No aplica",TODAY()&gt;G32),"⚠ VENCIDO","")</f>
        <v/>
      </c>
      <c r="I32" s="0" t="str">
        <f aca="false">IF(H32="⚠ VENCIDO",COUNTIF($H$5:H32,"⚠ VENCIDO"),"")</f>
        <v/>
      </c>
    </row>
    <row r="33" customFormat="false" ht="33.75" hidden="false" customHeight="true" outlineLevel="0" collapsed="false">
      <c r="A33" s="29" t="n">
        <v>29</v>
      </c>
      <c r="B33" s="30" t="s">
        <v>179</v>
      </c>
      <c r="C33" s="31" t="s">
        <v>245</v>
      </c>
      <c r="D33" s="32" t="s">
        <v>211</v>
      </c>
      <c r="E33" s="44" t="s">
        <v>198</v>
      </c>
      <c r="F33" s="31"/>
      <c r="G33" s="45"/>
      <c r="H33" s="32" t="str">
        <f aca="true">IF(AND(G33&lt;&gt;"",E33&lt;&gt;"Completo",E33&lt;&gt;"No aplica",TODAY()&gt;G33),"⚠ VENCIDO","")</f>
        <v/>
      </c>
      <c r="I33" s="0" t="str">
        <f aca="false">IF(H33="⚠ VENCIDO",COUNTIF($H$5:H33,"⚠ VENCIDO"),"")</f>
        <v/>
      </c>
    </row>
    <row r="35" customFormat="false" ht="15" hidden="false" customHeight="false" outlineLevel="0" collapsed="false">
      <c r="B35" s="46" t="s">
        <v>246</v>
      </c>
      <c r="C35" s="46" t="str">
        <f aca="false">COUNTIF(E5:E33,"Completo")&amp;" de "&amp;COUNTA(E5:E33)&amp;" completos"</f>
        <v>0 de 29 completos</v>
      </c>
      <c r="E35" s="46" t="s">
        <v>247</v>
      </c>
      <c r="F35" s="47" t="n">
        <f aca="false">COUNTIF(H5:H33,"⚠ VENCIDO")</f>
        <v>0</v>
      </c>
    </row>
  </sheetData>
  <autoFilter ref="A4:H33"/>
  <mergeCells count="2">
    <mergeCell ref="A1:G1"/>
    <mergeCell ref="A2:H2"/>
  </mergeCells>
  <conditionalFormatting sqref="E5:E33">
    <cfRule type="cellIs" priority="2" operator="equal" aboveAverage="0" equalAverage="0" bottom="0" percent="0" rank="0" text="" dxfId="11">
      <formula>"Pendiente"</formula>
    </cfRule>
    <cfRule type="cellIs" priority="3" operator="equal" aboveAverage="0" equalAverage="0" bottom="0" percent="0" rank="0" text="" dxfId="12">
      <formula>"En proceso"</formula>
    </cfRule>
    <cfRule type="cellIs" priority="4" operator="equal" aboveAverage="0" equalAverage="0" bottom="0" percent="0" rank="0" text="" dxfId="13">
      <formula>"Completo"</formula>
    </cfRule>
    <cfRule type="cellIs" priority="5" operator="equal" aboveAverage="0" equalAverage="0" bottom="0" percent="0" rank="0" text="" dxfId="15">
      <formula>"No aplica"</formula>
    </cfRule>
  </conditionalFormatting>
  <conditionalFormatting sqref="H5:H33">
    <cfRule type="cellIs" priority="6" operator="equal" aboveAverage="0" equalAverage="0" bottom="0" percent="0" rank="0" text="" dxfId="11">
      <formula>"⚠ VENCIDO"</formula>
    </cfRule>
  </conditionalFormatting>
  <dataValidations count="1">
    <dataValidation allowBlank="false" errorStyle="stop" operator="between" prompt="Marca si este documento está Completo, En proceso, Pendiente o No aplica. La Matriz de Riesgo recalculará el riesgo residual sola." promptTitle="Estatus del documento" showDropDown="false" showErrorMessage="false" showInputMessage="true" sqref="E5:E33" type="list">
      <formula1>"Pendiente,En proceso,Completo,No aplica"</formula1>
      <formula2>0</formula2>
    </dataValidation>
  </dataValidations>
  <hyperlinks>
    <hyperlink ref="H1" r:id="rId1" location="'Inicio'!A1" display="🏠 Inicio"/>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F5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5" topLeftCell="A6"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26"/>
    <col collapsed="false" customWidth="true" hidden="false" outlineLevel="0" max="2" min="2" style="0" width="22"/>
    <col collapsed="false" customWidth="true" hidden="false" outlineLevel="0" max="3" min="3" style="0" width="34"/>
    <col collapsed="false" customWidth="true" hidden="false" outlineLevel="0" max="4" min="4" style="0" width="15"/>
    <col collapsed="false" customWidth="true" hidden="false" outlineLevel="0" max="5" min="5" style="0" width="13"/>
    <col collapsed="false" customWidth="true" hidden="false" outlineLevel="0" max="6" min="6" style="0" width="26"/>
  </cols>
  <sheetData>
    <row r="1" customFormat="false" ht="31.5" hidden="false" customHeight="true" outlineLevel="0" collapsed="false">
      <c r="A1" s="48" t="s">
        <v>248</v>
      </c>
      <c r="B1" s="48"/>
      <c r="C1" s="48"/>
      <c r="D1" s="48"/>
      <c r="E1" s="48"/>
      <c r="F1" s="14" t="s">
        <v>32</v>
      </c>
    </row>
    <row r="2" customFormat="false" ht="18" hidden="false" customHeight="true" outlineLevel="0" collapsed="false">
      <c r="A2" s="49" t="s">
        <v>249</v>
      </c>
      <c r="B2" s="49"/>
      <c r="C2" s="49"/>
      <c r="D2" s="49"/>
      <c r="E2" s="49"/>
      <c r="F2" s="49"/>
    </row>
    <row r="3" customFormat="false" ht="6" hidden="false" customHeight="true" outlineLevel="0" collapsed="false"/>
    <row r="4" customFormat="false" ht="24" hidden="false" customHeight="true" outlineLevel="0" collapsed="false">
      <c r="A4" s="50" t="str">
        <f aca="false">"Riesgos a atender ya: "&amp;COUNTIF('Matriz de Riesgo'!$Q$5:$Q$23,"Atender ya")</f>
        <v>Riesgos a atender ya: 13</v>
      </c>
      <c r="B4" s="50"/>
      <c r="C4" s="50"/>
      <c r="D4" s="50" t="str">
        <f aca="false">"Documentos vencidos: "&amp;COUNTIF('Checklist Soporte Documental'!$H$5:$H$33,"⚠ VENCIDO")</f>
        <v>Documentos vencidos: 0</v>
      </c>
      <c r="E4" s="50"/>
      <c r="F4" s="50"/>
    </row>
    <row r="5" customFormat="false" ht="9.75" hidden="false" customHeight="true" outlineLevel="0" collapsed="false"/>
    <row r="6" customFormat="false" ht="15" hidden="false" customHeight="false" outlineLevel="0" collapsed="false">
      <c r="A6" s="51" t="s">
        <v>250</v>
      </c>
      <c r="B6" s="51"/>
      <c r="C6" s="51"/>
      <c r="D6" s="51"/>
      <c r="E6" s="51"/>
      <c r="F6" s="51"/>
    </row>
    <row r="7" customFormat="false" ht="21.75" hidden="false" customHeight="true" outlineLevel="0" collapsed="false">
      <c r="A7" s="52" t="s">
        <v>251</v>
      </c>
      <c r="B7" s="52" t="s">
        <v>252</v>
      </c>
      <c r="C7" s="52" t="s">
        <v>253</v>
      </c>
      <c r="D7" s="52" t="s">
        <v>254</v>
      </c>
      <c r="E7" s="52" t="s">
        <v>122</v>
      </c>
      <c r="F7" s="52" t="s">
        <v>255</v>
      </c>
    </row>
    <row r="8" customFormat="false" ht="31.5" hidden="false" customHeight="true" outlineLevel="0" collapsed="false">
      <c r="A8" s="53" t="n">
        <f aca="false">IF(1&lt;=COUNTIF('Matriz de Riesgo'!$Q$5:$Q$23,"Atender ya"),IFERROR(INDEX('Matriz de Riesgo'!$A$5:$A$23,MATCH(1,'Matriz de Riesgo'!$P$5:$P$23,0)),""),"")</f>
        <v>1</v>
      </c>
      <c r="B8" s="53" t="str">
        <f aca="false">IF(1&lt;=COUNTIF('Matriz de Riesgo'!$Q$5:$Q$23,"Atender ya"),IFERROR(INDEX('Matriz de Riesgo'!$B$5:$B$23,MATCH(1,'Matriz de Riesgo'!$P$5:$P$23,0)),""),"")</f>
        <v>A. Fiscalización e inspección laboral (STPS)</v>
      </c>
      <c r="C8" s="31" t="str">
        <f aca="false">IF(1&lt;=COUNTIF('Matriz de Riesgo'!$Q$5:$Q$23,"Atender ya"),IFERROR(INDEX('Matriz de Riesgo'!$C$5:$C$23,MATCH(1,'Matriz de Riesgo'!$P$5:$P$23,0)),""),"")</f>
        <v>Nuevo Modelo de Inspección Laboral STPS 2026: la autoridad amplía la verificación de la realidad operativa del centro de trabajo (no solo documental) y cruza información entre nómina, contratos, IMSS y CFDI.</v>
      </c>
      <c r="D8" s="54" t="str">
        <f aca="false">IF(1&lt;=COUNTIF('Matriz de Riesgo'!$Q$5:$Q$23,"Atender ya"),IFERROR(INDEX('Matriz de Riesgo'!$O$5:$O$23,MATCH(1,'Matriz de Riesgo'!$P$5:$P$23,0)),""),"")</f>
        <v>Alto</v>
      </c>
      <c r="E8" s="53" t="n">
        <f aca="false">IF(1&lt;=COUNTIF('Matriz de Riesgo'!$Q$5:$Q$23,"Atender ya"),IFERROR(INDEX('Matriz de Riesgo'!$P$5:$P$23,MATCH(1,'Matriz de Riesgo'!$P$5:$P$23,0)),""),"")</f>
        <v>1</v>
      </c>
      <c r="F8" s="31" t="str">
        <f aca="false">IF(1&lt;=COUNTIF('Matriz de Riesgo'!$Q$5:$Q$23,"Atender ya"),IFERROR(INDEX('Matriz de Riesgo'!$H$5:$H$23,MATCH(1,'Matriz de Riesgo'!$P$5:$P$23,0)),""),"")</f>
        <v>Auditoría preventiva de contratos, altas IMSS, nómina y CFDI antes de la visita; expediente único por trabajador; protocolo interno de atención a la diligencia con abogado presente.</v>
      </c>
    </row>
    <row r="9" customFormat="false" ht="31.5" hidden="false" customHeight="true" outlineLevel="0" collapsed="false">
      <c r="A9" s="55" t="n">
        <f aca="false">IF(2&lt;=COUNTIF('Matriz de Riesgo'!$Q$5:$Q$23,"Atender ya"),IFERROR(INDEX('Matriz de Riesgo'!$A$5:$A$23,MATCH(2,'Matriz de Riesgo'!$P$5:$P$23,0)),""),"")</f>
        <v>3</v>
      </c>
      <c r="B9" s="55" t="str">
        <f aca="false">IF(2&lt;=COUNTIF('Matriz de Riesgo'!$Q$5:$Q$23,"Atender ya"),IFERROR(INDEX('Matriz de Riesgo'!$B$5:$B$23,MATCH(2,'Matriz de Riesgo'!$P$5:$P$23,0)),""),"")</f>
        <v>A. Fiscalización e inspección laboral (STPS)</v>
      </c>
      <c r="C9" s="40" t="str">
        <f aca="false">IF(2&lt;=COUNTIF('Matriz de Riesgo'!$Q$5:$Q$23,"Atender ya"),IFERROR(INDEX('Matriz de Riesgo'!$C$5:$C$23,MATCH(2,'Matriz de Riesgo'!$P$5:$P$23,0)),""),"")</f>
        <v>SIQAL: incremento superior al 400% en denuncias por vía digital respecto del canal tradicional, lo que detona visitas extraordinarias con mayor frecuencia.</v>
      </c>
      <c r="D9" s="54" t="str">
        <f aca="false">IF(2&lt;=COUNTIF('Matriz de Riesgo'!$Q$5:$Q$23,"Atender ya"),IFERROR(INDEX('Matriz de Riesgo'!$O$5:$O$23,MATCH(2,'Matriz de Riesgo'!$P$5:$P$23,0)),""),"")</f>
        <v>Alto</v>
      </c>
      <c r="E9" s="55" t="n">
        <f aca="false">IF(2&lt;=COUNTIF('Matriz de Riesgo'!$Q$5:$Q$23,"Atender ya"),IFERROR(INDEX('Matriz de Riesgo'!$P$5:$P$23,MATCH(2,'Matriz de Riesgo'!$P$5:$P$23,0)),""),"")</f>
        <v>2</v>
      </c>
      <c r="F9" s="40" t="str">
        <f aca="false">IF(2&lt;=COUNTIF('Matriz de Riesgo'!$Q$5:$Q$23,"Atender ya"),IFERROR(INDEX('Matriz de Riesgo'!$H$5:$H$23,MATCH(2,'Matriz de Riesgo'!$P$5:$P$23,0)),""),"")</f>
        <v>Canal interno de quejas y buzón de denuncia previo a la vía externa; política de atención inmediata a inconformidades; documentación de la respuesta patronal a cada reporte.</v>
      </c>
    </row>
    <row r="10" customFormat="false" ht="31.5" hidden="false" customHeight="true" outlineLevel="0" collapsed="false">
      <c r="A10" s="53" t="n">
        <f aca="false">IF(3&lt;=COUNTIF('Matriz de Riesgo'!$Q$5:$Q$23,"Atender ya"),IFERROR(INDEX('Matriz de Riesgo'!$A$5:$A$23,MATCH(3,'Matriz de Riesgo'!$P$5:$P$23,0)),""),"")</f>
        <v>4</v>
      </c>
      <c r="B10" s="53" t="str">
        <f aca="false">IF(3&lt;=COUNTIF('Matriz de Riesgo'!$Q$5:$Q$23,"Atender ya"),IFERROR(INDEX('Matriz de Riesgo'!$B$5:$B$23,MATCH(3,'Matriz de Riesgo'!$P$5:$P$23,0)),""),"")</f>
        <v>A. Fiscalización e inspección laboral (STPS)</v>
      </c>
      <c r="C10" s="31" t="str">
        <f aca="false">IF(3&lt;=COUNTIF('Matriz de Riesgo'!$Q$5:$Q$23,"Atender ya"),IFERROR(INDEX('Matriz de Riesgo'!$C$5:$C$23,MATCH(3,'Matriz de Riesgo'!$P$5:$P$23,0)),""),"")</f>
        <v>Fiscalización focalizada y reforzada en sectores de riesgo operativo: construcción, transporte, manufactura, hidrocarburos y servicios especializados (REPSE).</v>
      </c>
      <c r="D10" s="54" t="str">
        <f aca="false">IF(3&lt;=COUNTIF('Matriz de Riesgo'!$Q$5:$Q$23,"Atender ya"),IFERROR(INDEX('Matriz de Riesgo'!$O$5:$O$23,MATCH(3,'Matriz de Riesgo'!$P$5:$P$23,0)),""),"")</f>
        <v>Alto</v>
      </c>
      <c r="E10" s="53" t="n">
        <f aca="false">IF(3&lt;=COUNTIF('Matriz de Riesgo'!$Q$5:$Q$23,"Atender ya"),IFERROR(INDEX('Matriz de Riesgo'!$P$5:$P$23,MATCH(3,'Matriz de Riesgo'!$P$5:$P$23,0)),""),"")</f>
        <v>3</v>
      </c>
      <c r="F10" s="31" t="str">
        <f aca="false">IF(3&lt;=COUNTIF('Matriz de Riesgo'!$Q$5:$Q$23,"Atender ya"),IFERROR(INDEX('Matriz de Riesgo'!$H$5:$H$23,MATCH(3,'Matriz de Riesgo'!$P$5:$P$23,0)),""),"")</f>
        <v>Diagnóstico sectorial de exposición; refuerzo documental específico en seguridad e higiene y subcontratación cuando el cliente opere en estos giros.</v>
      </c>
    </row>
    <row r="11" customFormat="false" ht="31.5" hidden="false" customHeight="true" outlineLevel="0" collapsed="false">
      <c r="A11" s="55" t="n">
        <f aca="false">IF(4&lt;=COUNTIF('Matriz de Riesgo'!$Q$5:$Q$23,"Atender ya"),IFERROR(INDEX('Matriz de Riesgo'!$A$5:$A$23,MATCH(4,'Matriz de Riesgo'!$P$5:$P$23,0)),""),"")</f>
        <v>6</v>
      </c>
      <c r="B11" s="55" t="str">
        <f aca="false">IF(4&lt;=COUNTIF('Matriz de Riesgo'!$Q$5:$Q$23,"Atender ya"),IFERROR(INDEX('Matriz de Riesgo'!$B$5:$B$23,MATCH(4,'Matriz de Riesgo'!$P$5:$P$23,0)),""),"")</f>
        <v>B. Reforma de jornada laboral (48 → 40 horas)</v>
      </c>
      <c r="C11" s="40" t="str">
        <f aca="false">IF(4&lt;=COUNTIF('Matriz de Riesgo'!$Q$5:$Q$23,"Atender ya"),IFERROR(INDEX('Matriz de Riesgo'!$C$5:$C$23,MATCH(4,'Matriz de Riesgo'!$P$5:$P$23,0)),""),"")</f>
        <v>Reducción escalonada de la jornada máxima de 48 a 40 horas semanales (2026-2030), sin que pueda implicar disminución de salario ni de prestaciones; obliga a rediseñar turnos y esquemas de productividad.</v>
      </c>
      <c r="D11" s="54" t="str">
        <f aca="false">IF(4&lt;=COUNTIF('Matriz de Riesgo'!$Q$5:$Q$23,"Atender ya"),IFERROR(INDEX('Matriz de Riesgo'!$O$5:$O$23,MATCH(4,'Matriz de Riesgo'!$P$5:$P$23,0)),""),"")</f>
        <v>Alto</v>
      </c>
      <c r="E11" s="55" t="n">
        <f aca="false">IF(4&lt;=COUNTIF('Matriz de Riesgo'!$Q$5:$Q$23,"Atender ya"),IFERROR(INDEX('Matriz de Riesgo'!$P$5:$P$23,MATCH(4,'Matriz de Riesgo'!$P$5:$P$23,0)),""),"")</f>
        <v>4</v>
      </c>
      <c r="F11" s="40" t="str">
        <f aca="false">IF(4&lt;=COUNTIF('Matriz de Riesgo'!$Q$5:$Q$23,"Atender ya"),IFERROR(INDEX('Matriz de Riesgo'!$H$5:$H$23,MATCH(4,'Matriz de Riesgo'!$P$5:$P$23,0)),""),"")</f>
        <v>Plan de transición de jornada por centro de trabajo; recálculo de integración salarial y costos de nómina; actualización de reglamento interior de trabajo y contratos colectivos/individuales.</v>
      </c>
    </row>
    <row r="12" customFormat="false" ht="31.5" hidden="false" customHeight="true" outlineLevel="0" collapsed="false">
      <c r="A12" s="53" t="n">
        <f aca="false">IF(5&lt;=COUNTIF('Matriz de Riesgo'!$Q$5:$Q$23,"Atender ya"),IFERROR(INDEX('Matriz de Riesgo'!$A$5:$A$23,MATCH(5,'Matriz de Riesgo'!$P$5:$P$23,0)),""),"")</f>
        <v>7</v>
      </c>
      <c r="B12" s="53" t="str">
        <f aca="false">IF(5&lt;=COUNTIF('Matriz de Riesgo'!$Q$5:$Q$23,"Atender ya"),IFERROR(INDEX('Matriz de Riesgo'!$B$5:$B$23,MATCH(5,'Matriz de Riesgo'!$P$5:$P$23,0)),""),"")</f>
        <v>B. Reforma de jornada laboral (48 → 40 horas)</v>
      </c>
      <c r="C12" s="31" t="str">
        <f aca="false">IF(5&lt;=COUNTIF('Matriz de Riesgo'!$Q$5:$Q$23,"Atender ya"),IFERROR(INDEX('Matriz de Riesgo'!$C$5:$C$23,MATCH(5,'Matriz de Riesgo'!$P$5:$P$23,0)),""),"")</f>
        <v>Obligación de registro electrónico de la jornada de cada trabajador (entrada y salida), con conservación de la información y disponibilidad para la autoridad.</v>
      </c>
      <c r="D12" s="54" t="str">
        <f aca="false">IF(5&lt;=COUNTIF('Matriz de Riesgo'!$Q$5:$Q$23,"Atender ya"),IFERROR(INDEX('Matriz de Riesgo'!$O$5:$O$23,MATCH(5,'Matriz de Riesgo'!$P$5:$P$23,0)),""),"")</f>
        <v>Alto</v>
      </c>
      <c r="E12" s="53" t="n">
        <f aca="false">IF(5&lt;=COUNTIF('Matriz de Riesgo'!$Q$5:$Q$23,"Atender ya"),IFERROR(INDEX('Matriz de Riesgo'!$P$5:$P$23,MATCH(5,'Matriz de Riesgo'!$P$5:$P$23,0)),""),"")</f>
        <v>5</v>
      </c>
      <c r="F12" s="31" t="str">
        <f aca="false">IF(5&lt;=COUNTIF('Matriz de Riesgo'!$Q$5:$Q$23,"Atender ya"),IFERROR(INDEX('Matriz de Riesgo'!$H$5:$H$23,MATCH(5,'Matriz de Riesgo'!$P$5:$P$23,0)),""),"")</f>
        <v>Implementación anticipada de sistema de control de asistencia auditable; política de resguardo de registros por al menos los plazos de prescripción laboral; validación de coherencia entre reloj checador, nómina y CFDI.</v>
      </c>
    </row>
    <row r="13" customFormat="false" ht="31.5" hidden="false" customHeight="true" outlineLevel="0" collapsed="false">
      <c r="A13" s="55" t="n">
        <f aca="false">IF(6&lt;=COUNTIF('Matriz de Riesgo'!$Q$5:$Q$23,"Atender ya"),IFERROR(INDEX('Matriz de Riesgo'!$A$5:$A$23,MATCH(6,'Matriz de Riesgo'!$P$5:$P$23,0)),""),"")</f>
        <v>13</v>
      </c>
      <c r="B13" s="55" t="str">
        <f aca="false">IF(6&lt;=COUNTIF('Matriz de Riesgo'!$Q$5:$Q$23,"Atender ya"),IFERROR(INDEX('Matriz de Riesgo'!$B$5:$B$23,MATCH(6,'Matriz de Riesgo'!$P$5:$P$23,0)),""),"")</f>
        <v>C. Justicia laboral, conciliación y criterios jurisprudenciales</v>
      </c>
      <c r="C13" s="40" t="str">
        <f aca="false">IF(6&lt;=COUNTIF('Matriz de Riesgo'!$Q$5:$Q$23,"Atender ya"),IFERROR(INDEX('Matriz de Riesgo'!$C$5:$C$23,MATCH(6,'Matriz de Riesgo'!$P$5:$P$23,0)),""),"")</f>
        <v>Conciliación prejudicial obligatoria ante el Centro Federal de Conciliación y Registro Laboral (CFCRL) o los centros estatales, previa a cualquier juicio, con duración de hasta 45 días naturales.</v>
      </c>
      <c r="D13" s="54" t="str">
        <f aca="false">IF(6&lt;=COUNTIF('Matriz de Riesgo'!$Q$5:$Q$23,"Atender ya"),IFERROR(INDEX('Matriz de Riesgo'!$O$5:$O$23,MATCH(6,'Matriz de Riesgo'!$P$5:$P$23,0)),""),"")</f>
        <v>Alto</v>
      </c>
      <c r="E13" s="55" t="n">
        <f aca="false">IF(6&lt;=COUNTIF('Matriz de Riesgo'!$Q$5:$Q$23,"Atender ya"),IFERROR(INDEX('Matriz de Riesgo'!$P$5:$P$23,MATCH(6,'Matriz de Riesgo'!$P$5:$P$23,0)),""),"")</f>
        <v>6</v>
      </c>
      <c r="F13" s="40" t="str">
        <f aca="false">IF(6&lt;=COUNTIF('Matriz de Riesgo'!$Q$5:$Q$23,"Atender ya"),IFERROR(INDEX('Matriz de Riesgo'!$H$5:$H$23,MATCH(6,'Matriz de Riesgo'!$P$5:$P$23,0)),""),"")</f>
        <v>Protocolo de comparecencia y negociación en la etapa conciliatoria; valuación temprana del asunto (probabilidad de éxito y costo) para decidir conciliar o judicializar; representación legal desde la primera cita.</v>
      </c>
    </row>
    <row r="14" customFormat="false" ht="31.5" hidden="false" customHeight="true" outlineLevel="0" collapsed="false">
      <c r="A14" s="53" t="n">
        <f aca="false">IF(7&lt;=COUNTIF('Matriz de Riesgo'!$Q$5:$Q$23,"Atender ya"),IFERROR(INDEX('Matriz de Riesgo'!$A$5:$A$23,MATCH(7,'Matriz de Riesgo'!$P$5:$P$23,0)),""),"")</f>
        <v>15</v>
      </c>
      <c r="B14" s="53" t="str">
        <f aca="false">IF(7&lt;=COUNTIF('Matriz de Riesgo'!$Q$5:$Q$23,"Atender ya"),IFERROR(INDEX('Matriz de Riesgo'!$B$5:$B$23,MATCH(7,'Matriz de Riesgo'!$P$5:$P$23,0)),""),"")</f>
        <v>C. Justicia laboral, conciliación y criterios jurisprudenciales</v>
      </c>
      <c r="C14" s="31" t="str">
        <f aca="false">IF(7&lt;=COUNTIF('Matriz de Riesgo'!$Q$5:$Q$23,"Atender ya"),IFERROR(INDEX('Matriz de Riesgo'!$C$5:$C$23,MATCH(7,'Matriz de Riesgo'!$P$5:$P$23,0)),""),"")</f>
        <v>Criterio de la SCJN que flexibiliza los requisitos formales de la prueba de inspección bajo el principio de sencillez procesal, limitando defensas basadas en tecnicismos de redacción del oferente.</v>
      </c>
      <c r="D14" s="54" t="str">
        <f aca="false">IF(7&lt;=COUNTIF('Matriz de Riesgo'!$Q$5:$Q$23,"Atender ya"),IFERROR(INDEX('Matriz de Riesgo'!$O$5:$O$23,MATCH(7,'Matriz de Riesgo'!$P$5:$P$23,0)),""),"")</f>
        <v>Alto</v>
      </c>
      <c r="E14" s="53" t="n">
        <f aca="false">IF(7&lt;=COUNTIF('Matriz de Riesgo'!$Q$5:$Q$23,"Atender ya"),IFERROR(INDEX('Matriz de Riesgo'!$P$5:$P$23,MATCH(7,'Matriz de Riesgo'!$P$5:$P$23,0)),""),"")</f>
        <v>7</v>
      </c>
      <c r="F14" s="31" t="str">
        <f aca="false">IF(7&lt;=COUNTIF('Matriz de Riesgo'!$Q$5:$Q$23,"Atender ya"),IFERROR(INDEX('Matriz de Riesgo'!$H$5:$H$23,MATCH(7,'Matriz de Riesgo'!$P$5:$P$23,0)),""),"")</f>
        <v>Sustento de la defensa en el fondo (existencia y contenido de la relación laboral) más que en objeciones formales a la prueba; refuerzo del acervo documental sustantivo del patrón (contratos, nómina, expedientes).</v>
      </c>
    </row>
    <row r="15" customFormat="false" ht="31.5" hidden="false" customHeight="true" outlineLevel="0" collapsed="false">
      <c r="A15" s="55" t="n">
        <f aca="false">IF(8&lt;=COUNTIF('Matriz de Riesgo'!$Q$5:$Q$23,"Atender ya"),IFERROR(INDEX('Matriz de Riesgo'!$A$5:$A$23,MATCH(8,'Matriz de Riesgo'!$P$5:$P$23,0)),""),"")</f>
        <v>17</v>
      </c>
      <c r="B15" s="55" t="str">
        <f aca="false">IF(8&lt;=COUNTIF('Matriz de Riesgo'!$Q$5:$Q$23,"Atender ya"),IFERROR(INDEX('Matriz de Riesgo'!$B$5:$B$23,MATCH(8,'Matriz de Riesgo'!$P$5:$P$23,0)),""),"")</f>
        <v>D. Subcontratación (REPSE) y Normas Oficiales Mexicanas</v>
      </c>
      <c r="C15" s="40" t="str">
        <f aca="false">IF(8&lt;=COUNTIF('Matriz de Riesgo'!$Q$5:$Q$23,"Atender ya"),IFERROR(INDEX('Matriz de Riesgo'!$C$5:$C$23,MATCH(8,'Matriz de Riesgo'!$P$5:$P$23,0)),""),"")</f>
        <v>Fiscalización reforzada de Servicios Especializados: verificación cruzada de REPSE, ICSOE y SISUB contra la operación real del centro de trabajo, con riesgo de recalificación como relación laboral directa y responsabilidad solidaria.</v>
      </c>
      <c r="D15" s="54" t="str">
        <f aca="false">IF(8&lt;=COUNTIF('Matriz de Riesgo'!$Q$5:$Q$23,"Atender ya"),IFERROR(INDEX('Matriz de Riesgo'!$O$5:$O$23,MATCH(8,'Matriz de Riesgo'!$P$5:$P$23,0)),""),"")</f>
        <v>Alto</v>
      </c>
      <c r="E15" s="55" t="n">
        <f aca="false">IF(8&lt;=COUNTIF('Matriz de Riesgo'!$Q$5:$Q$23,"Atender ya"),IFERROR(INDEX('Matriz de Riesgo'!$P$5:$P$23,MATCH(8,'Matriz de Riesgo'!$P$5:$P$23,0)),""),"")</f>
        <v>8</v>
      </c>
      <c r="F15" s="40" t="str">
        <f aca="false">IF(8&lt;=COUNTIF('Matriz de Riesgo'!$Q$5:$Q$23,"Atender ya"),IFERROR(INDEX('Matriz de Riesgo'!$H$5:$H$23,MATCH(8,'Matriz de Riesgo'!$P$5:$P$23,0)),""),"")</f>
        <v>Auditoría de especialidad del servicio subcontratado frente al objeto social del contratante; actualización trimestral de registros REPSE/ICSOE/SISUB; blindaje contractual de la naturaleza especializada del servicio.</v>
      </c>
    </row>
    <row r="16" customFormat="false" ht="31.5" hidden="false" customHeight="true" outlineLevel="0" collapsed="false">
      <c r="A16" s="53" t="n">
        <f aca="false">IF(9&lt;=COUNTIF('Matriz de Riesgo'!$Q$5:$Q$23,"Atender ya"),IFERROR(INDEX('Matriz de Riesgo'!$A$5:$A$23,MATCH(9,'Matriz de Riesgo'!$P$5:$P$23,0)),""),"")</f>
        <v>19</v>
      </c>
      <c r="B16" s="53" t="str">
        <f aca="false">IF(9&lt;=COUNTIF('Matriz de Riesgo'!$Q$5:$Q$23,"Atender ya"),IFERROR(INDEX('Matriz de Riesgo'!$B$5:$B$23,MATCH(9,'Matriz de Riesgo'!$P$5:$P$23,0)),""),"")</f>
        <v>D. Subcontratación (REPSE) y Normas Oficiales Mexicanas</v>
      </c>
      <c r="C16" s="31" t="str">
        <f aca="false">IF(9&lt;=COUNTIF('Matriz de Riesgo'!$Q$5:$Q$23,"Atender ya"),IFERROR(INDEX('Matriz de Riesgo'!$C$5:$C$23,MATCH(9,'Matriz de Riesgo'!$P$5:$P$23,0)),""),"")</f>
        <v>Discrepancias entre CFDI de nómina, registro interno de nómina y salario base de cotización ante el IMSS, detectables mediante cruces algorítmicos de la autoridad; riesgo adicional por el plazo de pago de PTU 2025 (mayo 2026 para personas morales).</v>
      </c>
      <c r="D16" s="54" t="str">
        <f aca="false">IF(9&lt;=COUNTIF('Matriz de Riesgo'!$Q$5:$Q$23,"Atender ya"),IFERROR(INDEX('Matriz de Riesgo'!$O$5:$O$23,MATCH(9,'Matriz de Riesgo'!$P$5:$P$23,0)),""),"")</f>
        <v>Alto</v>
      </c>
      <c r="E16" s="53" t="n">
        <f aca="false">IF(9&lt;=COUNTIF('Matriz de Riesgo'!$Q$5:$Q$23,"Atender ya"),IFERROR(INDEX('Matriz de Riesgo'!$P$5:$P$23,MATCH(9,'Matriz de Riesgo'!$P$5:$P$23,0)),""),"")</f>
        <v>9</v>
      </c>
      <c r="F16" s="31" t="str">
        <f aca="false">IF(9&lt;=COUNTIF('Matriz de Riesgo'!$Q$5:$Q$23,"Atender ya"),IFERROR(INDEX('Matriz de Riesgo'!$H$5:$H$23,MATCH(9,'Matriz de Riesgo'!$P$5:$P$23,0)),""),"")</f>
        <v>Conciliación mensual CFDI-nómina-IMSS; validación de que el SBC coincida con las percepciones reales; verificación del cálculo y pago oportuno de PTU con evidencia documental.</v>
      </c>
    </row>
    <row r="17" customFormat="false" ht="31.5" hidden="false" customHeight="true" outlineLevel="0" collapsed="false">
      <c r="A17" s="55" t="n">
        <f aca="false">IF(10&lt;=COUNTIF('Matriz de Riesgo'!$Q$5:$Q$23,"Atender ya"),IFERROR(INDEX('Matriz de Riesgo'!$A$5:$A$23,MATCH(10,'Matriz de Riesgo'!$P$5:$P$23,0)),""),"")</f>
        <v>2</v>
      </c>
      <c r="B17" s="55" t="str">
        <f aca="false">IF(10&lt;=COUNTIF('Matriz de Riesgo'!$Q$5:$Q$23,"Atender ya"),IFERROR(INDEX('Matriz de Riesgo'!$B$5:$B$23,MATCH(10,'Matriz de Riesgo'!$P$5:$P$23,0)),""),"")</f>
        <v>A. Fiscalización e inspección laboral (STPS)</v>
      </c>
      <c r="C17" s="40" t="str">
        <f aca="false">IF(10&lt;=COUNTIF('Matriz de Riesgo'!$Q$5:$Q$23,"Atender ya"),IFERROR(INDEX('Matriz de Riesgo'!$C$5:$C$23,MATCH(10,'Matriz de Riesgo'!$P$5:$P$23,0)),""),"")</f>
        <v>Sistema SIDIL: detección automatizada de patrones con registro patronal activo pero sin constancias de capacitación registradas en SIRCE (DC-2/DC-3).</v>
      </c>
      <c r="D17" s="54" t="str">
        <f aca="false">IF(10&lt;=COUNTIF('Matriz de Riesgo'!$Q$5:$Q$23,"Atender ya"),IFERROR(INDEX('Matriz de Riesgo'!$O$5:$O$23,MATCH(10,'Matriz de Riesgo'!$P$5:$P$23,0)),""),"")</f>
        <v>Alto</v>
      </c>
      <c r="E17" s="55" t="n">
        <f aca="false">IF(10&lt;=COUNTIF('Matriz de Riesgo'!$Q$5:$Q$23,"Atender ya"),IFERROR(INDEX('Matriz de Riesgo'!$P$5:$P$23,MATCH(10,'Matriz de Riesgo'!$P$5:$P$23,0)),""),"")</f>
        <v>10</v>
      </c>
      <c r="F17" s="40" t="str">
        <f aca="false">IF(10&lt;=COUNTIF('Matriz de Riesgo'!$Q$5:$Q$23,"Atender ya"),IFERROR(INDEX('Matriz de Riesgo'!$H$5:$H$23,MATCH(10,'Matriz de Riesgo'!$P$5:$P$23,0)),""),"")</f>
        <v>Actualización y registro oportuno de planes y programas de capacitación; verificación periódica del estatus del registro patronal en SIRCE.</v>
      </c>
    </row>
    <row r="18" customFormat="false" ht="31.5" hidden="false" customHeight="true" outlineLevel="0" collapsed="false">
      <c r="A18" s="53" t="n">
        <f aca="false">IF(11&lt;=COUNTIF('Matriz de Riesgo'!$Q$5:$Q$23,"Atender ya"),IFERROR(INDEX('Matriz de Riesgo'!$A$5:$A$23,MATCH(11,'Matriz de Riesgo'!$P$5:$P$23,0)),""),"")</f>
        <v>5</v>
      </c>
      <c r="B18" s="53" t="str">
        <f aca="false">IF(11&lt;=COUNTIF('Matriz de Riesgo'!$Q$5:$Q$23,"Atender ya"),IFERROR(INDEX('Matriz de Riesgo'!$B$5:$B$23,MATCH(11,'Matriz de Riesgo'!$P$5:$P$23,0)),""),"")</f>
        <v>A. Fiscalización e inspección laboral (STPS)</v>
      </c>
      <c r="C18" s="31" t="str">
        <f aca="false">IF(11&lt;=COUNTIF('Matriz de Riesgo'!$Q$5:$Q$23,"Atender ya"),IFERROR(INDEX('Matriz de Riesgo'!$C$5:$C$23,MATCH(11,'Matriz de Riesgo'!$P$5:$P$23,0)),""),"")</f>
        <v>Endurecimiento de criterios sancionadores: la autoridad valora intencionalidad, gravedad, daño potencial, capacidad económica y reincidencia; multas de 50 a 1,500 UMA.</v>
      </c>
      <c r="D18" s="54" t="str">
        <f aca="false">IF(11&lt;=COUNTIF('Matriz de Riesgo'!$Q$5:$Q$23,"Atender ya"),IFERROR(INDEX('Matriz de Riesgo'!$O$5:$O$23,MATCH(11,'Matriz de Riesgo'!$P$5:$P$23,0)),""),"")</f>
        <v>Alto</v>
      </c>
      <c r="E18" s="53" t="n">
        <f aca="false">IF(11&lt;=COUNTIF('Matriz de Riesgo'!$Q$5:$Q$23,"Atender ya"),IFERROR(INDEX('Matriz de Riesgo'!$P$5:$P$23,MATCH(11,'Matriz de Riesgo'!$P$5:$P$23,0)),""),"")</f>
        <v>11</v>
      </c>
      <c r="F18" s="31" t="str">
        <f aca="false">IF(11&lt;=COUNTIF('Matriz de Riesgo'!$Q$5:$Q$23,"Atender ya"),IFERROR(INDEX('Matriz de Riesgo'!$H$5:$H$23,MATCH(11,'Matriz de Riesgo'!$P$5:$P$23,0)),""),"")</f>
        <v>Historial de cumplimiento documentado como atenuante; escrito de aclaración/desvirtuación de hechos en cada acta; valoración de impugnación (recurso de revisión / juicio de nulidad) según proporcionalidad de la multa.</v>
      </c>
    </row>
    <row r="19" customFormat="false" ht="31.5" hidden="false" customHeight="true" outlineLevel="0" collapsed="false">
      <c r="A19" s="55" t="n">
        <f aca="false">IF(12&lt;=COUNTIF('Matriz de Riesgo'!$Q$5:$Q$23,"Atender ya"),IFERROR(INDEX('Matriz de Riesgo'!$A$5:$A$23,MATCH(12,'Matriz de Riesgo'!$P$5:$P$23,0)),""),"")</f>
        <v>8</v>
      </c>
      <c r="B19" s="55" t="str">
        <f aca="false">IF(12&lt;=COUNTIF('Matriz de Riesgo'!$Q$5:$Q$23,"Atender ya"),IFERROR(INDEX('Matriz de Riesgo'!$B$5:$B$23,MATCH(12,'Matriz de Riesgo'!$P$5:$P$23,0)),""),"")</f>
        <v>B. Reforma de jornada laboral (48 → 40 horas)</v>
      </c>
      <c r="C19" s="40" t="str">
        <f aca="false">IF(12&lt;=COUNTIF('Matriz de Riesgo'!$Q$5:$Q$23,"Atender ya"),IFERROR(INDEX('Matriz de Riesgo'!$C$5:$C$23,MATCH(12,'Matriz de Riesgo'!$P$5:$P$23,0)),""),"")</f>
        <v>Nuevo tope de horas extraordinarias (9 h/semana en 2026, escalando a 12 h en 2030) con sanción salarial del 200% sobre el excedente; jornada total no puede superar 12 horas diarias.</v>
      </c>
      <c r="D19" s="54" t="str">
        <f aca="false">IF(12&lt;=COUNTIF('Matriz de Riesgo'!$Q$5:$Q$23,"Atender ya"),IFERROR(INDEX('Matriz de Riesgo'!$O$5:$O$23,MATCH(12,'Matriz de Riesgo'!$P$5:$P$23,0)),""),"")</f>
        <v>Alto</v>
      </c>
      <c r="E19" s="55" t="n">
        <f aca="false">IF(12&lt;=COUNTIF('Matriz de Riesgo'!$Q$5:$Q$23,"Atender ya"),IFERROR(INDEX('Matriz de Riesgo'!$P$5:$P$23,MATCH(12,'Matriz de Riesgo'!$P$5:$P$23,0)),""),"")</f>
        <v>12</v>
      </c>
      <c r="F19" s="40" t="str">
        <f aca="false">IF(12&lt;=COUNTIF('Matriz de Riesgo'!$Q$5:$Q$23,"Atender ya"),IFERROR(INDEX('Matriz de Riesgo'!$H$5:$H$23,MATCH(12,'Matriz de Riesgo'!$P$5:$P$23,0)),""),"")</f>
        <v>Control de topes de tiempo extra por sistema; autorización previa y documentada de horas extraordinarias; contingente de pasivo laboral estimado para descubrir tiempo extra no reconocido.</v>
      </c>
    </row>
    <row r="20" customFormat="false" ht="31.5" hidden="false" customHeight="true" outlineLevel="0" collapsed="false">
      <c r="A20" s="53" t="n">
        <f aca="false">IF(13&lt;=COUNTIF('Matriz de Riesgo'!$Q$5:$Q$23,"Atender ya"),IFERROR(INDEX('Matriz de Riesgo'!$A$5:$A$23,MATCH(13,'Matriz de Riesgo'!$P$5:$P$23,0)),""),"")</f>
        <v>16</v>
      </c>
      <c r="B20" s="53" t="str">
        <f aca="false">IF(13&lt;=COUNTIF('Matriz de Riesgo'!$Q$5:$Q$23,"Atender ya"),IFERROR(INDEX('Matriz de Riesgo'!$B$5:$B$23,MATCH(13,'Matriz de Riesgo'!$P$5:$P$23,0)),""),"")</f>
        <v>C. Justicia laboral, conciliación y criterios jurisprudenciales</v>
      </c>
      <c r="C20" s="31" t="str">
        <f aca="false">IF(13&lt;=COUNTIF('Matriz de Riesgo'!$Q$5:$Q$23,"Atender ya"),IFERROR(INDEX('Matriz de Riesgo'!$C$5:$C$23,MATCH(13,'Matriz de Riesgo'!$P$5:$P$23,0)),""),"")</f>
        <v>Reforzamiento del principio de primacía de la realidad en criterios recientes de la SCJN: prevalece la relación de hecho sobre la forma documental en la calificación de la relación laboral y de beneficiarios.</v>
      </c>
      <c r="D20" s="54" t="str">
        <f aca="false">IF(13&lt;=COUNTIF('Matriz de Riesgo'!$Q$5:$Q$23,"Atender ya"),IFERROR(INDEX('Matriz de Riesgo'!$O$5:$O$23,MATCH(13,'Matriz de Riesgo'!$P$5:$P$23,0)),""),"")</f>
        <v>Alto</v>
      </c>
      <c r="E20" s="53" t="n">
        <f aca="false">IF(13&lt;=COUNTIF('Matriz de Riesgo'!$Q$5:$Q$23,"Atender ya"),IFERROR(INDEX('Matriz de Riesgo'!$P$5:$P$23,MATCH(13,'Matriz de Riesgo'!$P$5:$P$23,0)),""),"")</f>
        <v>13</v>
      </c>
      <c r="F20" s="31" t="str">
        <f aca="false">IF(13&lt;=COUNTIF('Matriz de Riesgo'!$Q$5:$Q$23,"Atender ya"),IFERROR(INDEX('Matriz de Riesgo'!$H$5:$H$23,MATCH(13,'Matriz de Riesgo'!$P$5:$P$23,0)),""),"")</f>
        <v>Revisión de esquemas de honorarios, asimilados a salarios y subcontratación para que la operación real sea consistente con la instrumentación jurídica; corrección de esquemas con riesgo de recalificación.</v>
      </c>
    </row>
    <row r="21" customFormat="false" ht="31.5" hidden="false" customHeight="true" outlineLevel="0" collapsed="false">
      <c r="A21" s="55" t="str">
        <f aca="false">IF(14&lt;=COUNTIF('Matriz de Riesgo'!$Q$5:$Q$23,"Atender ya"),IFERROR(INDEX('Matriz de Riesgo'!$A$5:$A$23,MATCH(14,'Matriz de Riesgo'!$P$5:$P$23,0)),""),"")</f>
        <v/>
      </c>
      <c r="B21" s="55" t="str">
        <f aca="false">IF(14&lt;=COUNTIF('Matriz de Riesgo'!$Q$5:$Q$23,"Atender ya"),IFERROR(INDEX('Matriz de Riesgo'!$B$5:$B$23,MATCH(14,'Matriz de Riesgo'!$P$5:$P$23,0)),""),"")</f>
        <v/>
      </c>
      <c r="C21" s="40" t="str">
        <f aca="false">IF(14&lt;=COUNTIF('Matriz de Riesgo'!$Q$5:$Q$23,"Atender ya"),IFERROR(INDEX('Matriz de Riesgo'!$C$5:$C$23,MATCH(14,'Matriz de Riesgo'!$P$5:$P$23,0)),""),"")</f>
        <v/>
      </c>
      <c r="D21" s="54" t="str">
        <f aca="false">IF(14&lt;=COUNTIF('Matriz de Riesgo'!$Q$5:$Q$23,"Atender ya"),IFERROR(INDEX('Matriz de Riesgo'!$O$5:$O$23,MATCH(14,'Matriz de Riesgo'!$P$5:$P$23,0)),""),"")</f>
        <v/>
      </c>
      <c r="E21" s="55" t="str">
        <f aca="false">IF(14&lt;=COUNTIF('Matriz de Riesgo'!$Q$5:$Q$23,"Atender ya"),IFERROR(INDEX('Matriz de Riesgo'!$P$5:$P$23,MATCH(14,'Matriz de Riesgo'!$P$5:$P$23,0)),""),"")</f>
        <v/>
      </c>
      <c r="F21" s="40" t="str">
        <f aca="false">IF(14&lt;=COUNTIF('Matriz de Riesgo'!$Q$5:$Q$23,"Atender ya"),IFERROR(INDEX('Matriz de Riesgo'!$H$5:$H$23,MATCH(14,'Matriz de Riesgo'!$P$5:$P$23,0)),""),"")</f>
        <v/>
      </c>
    </row>
    <row r="22" customFormat="false" ht="31.5" hidden="false" customHeight="true" outlineLevel="0" collapsed="false">
      <c r="A22" s="53" t="str">
        <f aca="false">IF(15&lt;=COUNTIF('Matriz de Riesgo'!$Q$5:$Q$23,"Atender ya"),IFERROR(INDEX('Matriz de Riesgo'!$A$5:$A$23,MATCH(15,'Matriz de Riesgo'!$P$5:$P$23,0)),""),"")</f>
        <v/>
      </c>
      <c r="B22" s="53" t="str">
        <f aca="false">IF(15&lt;=COUNTIF('Matriz de Riesgo'!$Q$5:$Q$23,"Atender ya"),IFERROR(INDEX('Matriz de Riesgo'!$B$5:$B$23,MATCH(15,'Matriz de Riesgo'!$P$5:$P$23,0)),""),"")</f>
        <v/>
      </c>
      <c r="C22" s="31" t="str">
        <f aca="false">IF(15&lt;=COUNTIF('Matriz de Riesgo'!$Q$5:$Q$23,"Atender ya"),IFERROR(INDEX('Matriz de Riesgo'!$C$5:$C$23,MATCH(15,'Matriz de Riesgo'!$P$5:$P$23,0)),""),"")</f>
        <v/>
      </c>
      <c r="D22" s="54" t="str">
        <f aca="false">IF(15&lt;=COUNTIF('Matriz de Riesgo'!$Q$5:$Q$23,"Atender ya"),IFERROR(INDEX('Matriz de Riesgo'!$O$5:$O$23,MATCH(15,'Matriz de Riesgo'!$P$5:$P$23,0)),""),"")</f>
        <v/>
      </c>
      <c r="E22" s="53" t="str">
        <f aca="false">IF(15&lt;=COUNTIF('Matriz de Riesgo'!$Q$5:$Q$23,"Atender ya"),IFERROR(INDEX('Matriz de Riesgo'!$P$5:$P$23,MATCH(15,'Matriz de Riesgo'!$P$5:$P$23,0)),""),"")</f>
        <v/>
      </c>
      <c r="F22" s="31" t="str">
        <f aca="false">IF(15&lt;=COUNTIF('Matriz de Riesgo'!$Q$5:$Q$23,"Atender ya"),IFERROR(INDEX('Matriz de Riesgo'!$H$5:$H$23,MATCH(15,'Matriz de Riesgo'!$P$5:$P$23,0)),""),"")</f>
        <v/>
      </c>
    </row>
    <row r="23" customFormat="false" ht="31.5" hidden="false" customHeight="true" outlineLevel="0" collapsed="false">
      <c r="A23" s="55" t="str">
        <f aca="false">IF(16&lt;=COUNTIF('Matriz de Riesgo'!$Q$5:$Q$23,"Atender ya"),IFERROR(INDEX('Matriz de Riesgo'!$A$5:$A$23,MATCH(16,'Matriz de Riesgo'!$P$5:$P$23,0)),""),"")</f>
        <v/>
      </c>
      <c r="B23" s="55" t="str">
        <f aca="false">IF(16&lt;=COUNTIF('Matriz de Riesgo'!$Q$5:$Q$23,"Atender ya"),IFERROR(INDEX('Matriz de Riesgo'!$B$5:$B$23,MATCH(16,'Matriz de Riesgo'!$P$5:$P$23,0)),""),"")</f>
        <v/>
      </c>
      <c r="C23" s="40" t="str">
        <f aca="false">IF(16&lt;=COUNTIF('Matriz de Riesgo'!$Q$5:$Q$23,"Atender ya"),IFERROR(INDEX('Matriz de Riesgo'!$C$5:$C$23,MATCH(16,'Matriz de Riesgo'!$P$5:$P$23,0)),""),"")</f>
        <v/>
      </c>
      <c r="D23" s="54" t="str">
        <f aca="false">IF(16&lt;=COUNTIF('Matriz de Riesgo'!$Q$5:$Q$23,"Atender ya"),IFERROR(INDEX('Matriz de Riesgo'!$O$5:$O$23,MATCH(16,'Matriz de Riesgo'!$P$5:$P$23,0)),""),"")</f>
        <v/>
      </c>
      <c r="E23" s="55" t="str">
        <f aca="false">IF(16&lt;=COUNTIF('Matriz de Riesgo'!$Q$5:$Q$23,"Atender ya"),IFERROR(INDEX('Matriz de Riesgo'!$P$5:$P$23,MATCH(16,'Matriz de Riesgo'!$P$5:$P$23,0)),""),"")</f>
        <v/>
      </c>
      <c r="F23" s="40" t="str">
        <f aca="false">IF(16&lt;=COUNTIF('Matriz de Riesgo'!$Q$5:$Q$23,"Atender ya"),IFERROR(INDEX('Matriz de Riesgo'!$H$5:$H$23,MATCH(16,'Matriz de Riesgo'!$P$5:$P$23,0)),""),"")</f>
        <v/>
      </c>
    </row>
    <row r="24" customFormat="false" ht="31.5" hidden="false" customHeight="true" outlineLevel="0" collapsed="false">
      <c r="A24" s="53" t="str">
        <f aca="false">IF(17&lt;=COUNTIF('Matriz de Riesgo'!$Q$5:$Q$23,"Atender ya"),IFERROR(INDEX('Matriz de Riesgo'!$A$5:$A$23,MATCH(17,'Matriz de Riesgo'!$P$5:$P$23,0)),""),"")</f>
        <v/>
      </c>
      <c r="B24" s="53" t="str">
        <f aca="false">IF(17&lt;=COUNTIF('Matriz de Riesgo'!$Q$5:$Q$23,"Atender ya"),IFERROR(INDEX('Matriz de Riesgo'!$B$5:$B$23,MATCH(17,'Matriz de Riesgo'!$P$5:$P$23,0)),""),"")</f>
        <v/>
      </c>
      <c r="C24" s="31" t="str">
        <f aca="false">IF(17&lt;=COUNTIF('Matriz de Riesgo'!$Q$5:$Q$23,"Atender ya"),IFERROR(INDEX('Matriz de Riesgo'!$C$5:$C$23,MATCH(17,'Matriz de Riesgo'!$P$5:$P$23,0)),""),"")</f>
        <v/>
      </c>
      <c r="D24" s="54" t="str">
        <f aca="false">IF(17&lt;=COUNTIF('Matriz de Riesgo'!$Q$5:$Q$23,"Atender ya"),IFERROR(INDEX('Matriz de Riesgo'!$O$5:$O$23,MATCH(17,'Matriz de Riesgo'!$P$5:$P$23,0)),""),"")</f>
        <v/>
      </c>
      <c r="E24" s="53" t="str">
        <f aca="false">IF(17&lt;=COUNTIF('Matriz de Riesgo'!$Q$5:$Q$23,"Atender ya"),IFERROR(INDEX('Matriz de Riesgo'!$P$5:$P$23,MATCH(17,'Matriz de Riesgo'!$P$5:$P$23,0)),""),"")</f>
        <v/>
      </c>
      <c r="F24" s="31" t="str">
        <f aca="false">IF(17&lt;=COUNTIF('Matriz de Riesgo'!$Q$5:$Q$23,"Atender ya"),IFERROR(INDEX('Matriz de Riesgo'!$H$5:$H$23,MATCH(17,'Matriz de Riesgo'!$P$5:$P$23,0)),""),"")</f>
        <v/>
      </c>
    </row>
    <row r="25" customFormat="false" ht="31.5" hidden="false" customHeight="true" outlineLevel="0" collapsed="false">
      <c r="A25" s="55" t="str">
        <f aca="false">IF(18&lt;=COUNTIF('Matriz de Riesgo'!$Q$5:$Q$23,"Atender ya"),IFERROR(INDEX('Matriz de Riesgo'!$A$5:$A$23,MATCH(18,'Matriz de Riesgo'!$P$5:$P$23,0)),""),"")</f>
        <v/>
      </c>
      <c r="B25" s="55" t="str">
        <f aca="false">IF(18&lt;=COUNTIF('Matriz de Riesgo'!$Q$5:$Q$23,"Atender ya"),IFERROR(INDEX('Matriz de Riesgo'!$B$5:$B$23,MATCH(18,'Matriz de Riesgo'!$P$5:$P$23,0)),""),"")</f>
        <v/>
      </c>
      <c r="C25" s="40" t="str">
        <f aca="false">IF(18&lt;=COUNTIF('Matriz de Riesgo'!$Q$5:$Q$23,"Atender ya"),IFERROR(INDEX('Matriz de Riesgo'!$C$5:$C$23,MATCH(18,'Matriz de Riesgo'!$P$5:$P$23,0)),""),"")</f>
        <v/>
      </c>
      <c r="D25" s="54" t="str">
        <f aca="false">IF(18&lt;=COUNTIF('Matriz de Riesgo'!$Q$5:$Q$23,"Atender ya"),IFERROR(INDEX('Matriz de Riesgo'!$O$5:$O$23,MATCH(18,'Matriz de Riesgo'!$P$5:$P$23,0)),""),"")</f>
        <v/>
      </c>
      <c r="E25" s="55" t="str">
        <f aca="false">IF(18&lt;=COUNTIF('Matriz de Riesgo'!$Q$5:$Q$23,"Atender ya"),IFERROR(INDEX('Matriz de Riesgo'!$P$5:$P$23,MATCH(18,'Matriz de Riesgo'!$P$5:$P$23,0)),""),"")</f>
        <v/>
      </c>
      <c r="F25" s="40" t="str">
        <f aca="false">IF(18&lt;=COUNTIF('Matriz de Riesgo'!$Q$5:$Q$23,"Atender ya"),IFERROR(INDEX('Matriz de Riesgo'!$H$5:$H$23,MATCH(18,'Matriz de Riesgo'!$P$5:$P$23,0)),""),"")</f>
        <v/>
      </c>
    </row>
    <row r="26" customFormat="false" ht="31.5" hidden="false" customHeight="true" outlineLevel="0" collapsed="false">
      <c r="A26" s="53" t="str">
        <f aca="false">IF(19&lt;=COUNTIF('Matriz de Riesgo'!$Q$5:$Q$23,"Atender ya"),IFERROR(INDEX('Matriz de Riesgo'!$A$5:$A$23,MATCH(19,'Matriz de Riesgo'!$P$5:$P$23,0)),""),"")</f>
        <v/>
      </c>
      <c r="B26" s="53" t="str">
        <f aca="false">IF(19&lt;=COUNTIF('Matriz de Riesgo'!$Q$5:$Q$23,"Atender ya"),IFERROR(INDEX('Matriz de Riesgo'!$B$5:$B$23,MATCH(19,'Matriz de Riesgo'!$P$5:$P$23,0)),""),"")</f>
        <v/>
      </c>
      <c r="C26" s="31" t="str">
        <f aca="false">IF(19&lt;=COUNTIF('Matriz de Riesgo'!$Q$5:$Q$23,"Atender ya"),IFERROR(INDEX('Matriz de Riesgo'!$C$5:$C$23,MATCH(19,'Matriz de Riesgo'!$P$5:$P$23,0)),""),"")</f>
        <v/>
      </c>
      <c r="D26" s="54" t="str">
        <f aca="false">IF(19&lt;=COUNTIF('Matriz de Riesgo'!$Q$5:$Q$23,"Atender ya"),IFERROR(INDEX('Matriz de Riesgo'!$O$5:$O$23,MATCH(19,'Matriz de Riesgo'!$P$5:$P$23,0)),""),"")</f>
        <v/>
      </c>
      <c r="E26" s="53" t="str">
        <f aca="false">IF(19&lt;=COUNTIF('Matriz de Riesgo'!$Q$5:$Q$23,"Atender ya"),IFERROR(INDEX('Matriz de Riesgo'!$P$5:$P$23,MATCH(19,'Matriz de Riesgo'!$P$5:$P$23,0)),""),"")</f>
        <v/>
      </c>
      <c r="F26" s="31" t="str">
        <f aca="false">IF(19&lt;=COUNTIF('Matriz de Riesgo'!$Q$5:$Q$23,"Atender ya"),IFERROR(INDEX('Matriz de Riesgo'!$H$5:$H$23,MATCH(19,'Matriz de Riesgo'!$P$5:$P$23,0)),""),"")</f>
        <v/>
      </c>
    </row>
    <row r="28" customFormat="false" ht="15" hidden="false" customHeight="false" outlineLevel="0" collapsed="false">
      <c r="A28" s="51" t="s">
        <v>256</v>
      </c>
      <c r="B28" s="51"/>
      <c r="C28" s="51"/>
      <c r="D28" s="51"/>
      <c r="E28" s="51"/>
      <c r="F28" s="51"/>
    </row>
    <row r="29" customFormat="false" ht="21.75" hidden="false" customHeight="true" outlineLevel="0" collapsed="false">
      <c r="A29" s="52" t="s">
        <v>257</v>
      </c>
      <c r="B29" s="52" t="s">
        <v>252</v>
      </c>
      <c r="C29" s="52" t="s">
        <v>258</v>
      </c>
      <c r="D29" s="52" t="s">
        <v>193</v>
      </c>
      <c r="E29" s="52" t="s">
        <v>195</v>
      </c>
      <c r="F29" s="52" t="s">
        <v>259</v>
      </c>
    </row>
    <row r="30" customFormat="false" ht="27.75" hidden="false" customHeight="true" outlineLevel="0" collapsed="false">
      <c r="A30" s="31" t="str">
        <f aca="false">IF(1&lt;=COUNTIF('Checklist Soporte Documental'!$H$5:$H$33,"⚠ VENCIDO"),IFERROR(INDEX('Checklist Soporte Documental'!$C$5:$C$33,MATCH(1,'Checklist Soporte Documental'!$I$5:$I$33,0)),""),"")</f>
        <v/>
      </c>
      <c r="B30" s="53" t="str">
        <f aca="false">IF(1&lt;=COUNTIF('Checklist Soporte Documental'!$H$5:$H$33,"⚠ VENCIDO"),IFERROR(INDEX('Checklist Soporte Documental'!$B$5:$B$33,MATCH(1,'Checklist Soporte Documental'!$I$5:$I$33,0)),""),"")</f>
        <v/>
      </c>
      <c r="C30" s="53" t="str">
        <f aca="false">IF(1&lt;=COUNTIF('Checklist Soporte Documental'!$H$5:$H$33,"⚠ VENCIDO"),IFERROR(INDEX('Checklist Soporte Documental'!$D$5:$D$33,MATCH(1,'Checklist Soporte Documental'!$I$5:$I$33,0)),""),"")</f>
        <v/>
      </c>
      <c r="D30" s="53" t="str">
        <f aca="false">IF(1&lt;=COUNTIF('Checklist Soporte Documental'!$H$5:$H$33,"⚠ VENCIDO"),IFERROR(INDEX('Checklist Soporte Documental'!$E$5:$E$33,MATCH(1,'Checklist Soporte Documental'!$I$5:$I$33,0)),""),"")</f>
        <v/>
      </c>
      <c r="E30" s="56" t="str">
        <f aca="false">IF(1&lt;=COUNTIF('Checklist Soporte Documental'!$H$5:$H$33,"⚠ VENCIDO"),IFERROR(INDEX('Checklist Soporte Documental'!$G$5:$G$33,MATCH(1,'Checklist Soporte Documental'!$I$5:$I$33,0)),""),"")</f>
        <v/>
      </c>
      <c r="F30" s="57" t="str">
        <f aca="true">IF(AND(1&lt;=COUNTIF('Checklist Soporte Documental'!$H$5:$H$33,"⚠ VENCIDO"),E30&lt;&gt;""),TODAY()-E30,"")</f>
        <v/>
      </c>
    </row>
    <row r="31" customFormat="false" ht="27.75" hidden="false" customHeight="true" outlineLevel="0" collapsed="false">
      <c r="A31" s="40" t="str">
        <f aca="false">IF(2&lt;=COUNTIF('Checklist Soporte Documental'!$H$5:$H$33,"⚠ VENCIDO"),IFERROR(INDEX('Checklist Soporte Documental'!$C$5:$C$33,MATCH(2,'Checklist Soporte Documental'!$I$5:$I$33,0)),""),"")</f>
        <v/>
      </c>
      <c r="B31" s="55" t="str">
        <f aca="false">IF(2&lt;=COUNTIF('Checklist Soporte Documental'!$H$5:$H$33,"⚠ VENCIDO"),IFERROR(INDEX('Checklist Soporte Documental'!$B$5:$B$33,MATCH(2,'Checklist Soporte Documental'!$I$5:$I$33,0)),""),"")</f>
        <v/>
      </c>
      <c r="C31" s="55" t="str">
        <f aca="false">IF(2&lt;=COUNTIF('Checklist Soporte Documental'!$H$5:$H$33,"⚠ VENCIDO"),IFERROR(INDEX('Checklist Soporte Documental'!$D$5:$D$33,MATCH(2,'Checklist Soporte Documental'!$I$5:$I$33,0)),""),"")</f>
        <v/>
      </c>
      <c r="D31" s="55" t="str">
        <f aca="false">IF(2&lt;=COUNTIF('Checklist Soporte Documental'!$H$5:$H$33,"⚠ VENCIDO"),IFERROR(INDEX('Checklist Soporte Documental'!$E$5:$E$33,MATCH(2,'Checklist Soporte Documental'!$I$5:$I$33,0)),""),"")</f>
        <v/>
      </c>
      <c r="E31" s="58" t="str">
        <f aca="false">IF(2&lt;=COUNTIF('Checklist Soporte Documental'!$H$5:$H$33,"⚠ VENCIDO"),IFERROR(INDEX('Checklist Soporte Documental'!$G$5:$G$33,MATCH(2,'Checklist Soporte Documental'!$I$5:$I$33,0)),""),"")</f>
        <v/>
      </c>
      <c r="F31" s="59" t="str">
        <f aca="true">IF(AND(2&lt;=COUNTIF('Checklist Soporte Documental'!$H$5:$H$33,"⚠ VENCIDO"),E31&lt;&gt;""),TODAY()-E31,"")</f>
        <v/>
      </c>
    </row>
    <row r="32" customFormat="false" ht="27.75" hidden="false" customHeight="true" outlineLevel="0" collapsed="false">
      <c r="A32" s="31" t="str">
        <f aca="false">IF(3&lt;=COUNTIF('Checklist Soporte Documental'!$H$5:$H$33,"⚠ VENCIDO"),IFERROR(INDEX('Checklist Soporte Documental'!$C$5:$C$33,MATCH(3,'Checklist Soporte Documental'!$I$5:$I$33,0)),""),"")</f>
        <v/>
      </c>
      <c r="B32" s="53" t="str">
        <f aca="false">IF(3&lt;=COUNTIF('Checklist Soporte Documental'!$H$5:$H$33,"⚠ VENCIDO"),IFERROR(INDEX('Checklist Soporte Documental'!$B$5:$B$33,MATCH(3,'Checklist Soporte Documental'!$I$5:$I$33,0)),""),"")</f>
        <v/>
      </c>
      <c r="C32" s="53" t="str">
        <f aca="false">IF(3&lt;=COUNTIF('Checklist Soporte Documental'!$H$5:$H$33,"⚠ VENCIDO"),IFERROR(INDEX('Checklist Soporte Documental'!$D$5:$D$33,MATCH(3,'Checklist Soporte Documental'!$I$5:$I$33,0)),""),"")</f>
        <v/>
      </c>
      <c r="D32" s="53" t="str">
        <f aca="false">IF(3&lt;=COUNTIF('Checklist Soporte Documental'!$H$5:$H$33,"⚠ VENCIDO"),IFERROR(INDEX('Checklist Soporte Documental'!$E$5:$E$33,MATCH(3,'Checklist Soporte Documental'!$I$5:$I$33,0)),""),"")</f>
        <v/>
      </c>
      <c r="E32" s="56" t="str">
        <f aca="false">IF(3&lt;=COUNTIF('Checklist Soporte Documental'!$H$5:$H$33,"⚠ VENCIDO"),IFERROR(INDEX('Checklist Soporte Documental'!$G$5:$G$33,MATCH(3,'Checklist Soporte Documental'!$I$5:$I$33,0)),""),"")</f>
        <v/>
      </c>
      <c r="F32" s="57" t="str">
        <f aca="true">IF(AND(3&lt;=COUNTIF('Checklist Soporte Documental'!$H$5:$H$33,"⚠ VENCIDO"),E32&lt;&gt;""),TODAY()-E32,"")</f>
        <v/>
      </c>
    </row>
    <row r="33" customFormat="false" ht="27.75" hidden="false" customHeight="true" outlineLevel="0" collapsed="false">
      <c r="A33" s="40" t="str">
        <f aca="false">IF(4&lt;=COUNTIF('Checklist Soporte Documental'!$H$5:$H$33,"⚠ VENCIDO"),IFERROR(INDEX('Checklist Soporte Documental'!$C$5:$C$33,MATCH(4,'Checklist Soporte Documental'!$I$5:$I$33,0)),""),"")</f>
        <v/>
      </c>
      <c r="B33" s="55" t="str">
        <f aca="false">IF(4&lt;=COUNTIF('Checklist Soporte Documental'!$H$5:$H$33,"⚠ VENCIDO"),IFERROR(INDEX('Checklist Soporte Documental'!$B$5:$B$33,MATCH(4,'Checklist Soporte Documental'!$I$5:$I$33,0)),""),"")</f>
        <v/>
      </c>
      <c r="C33" s="55" t="str">
        <f aca="false">IF(4&lt;=COUNTIF('Checklist Soporte Documental'!$H$5:$H$33,"⚠ VENCIDO"),IFERROR(INDEX('Checklist Soporte Documental'!$D$5:$D$33,MATCH(4,'Checklist Soporte Documental'!$I$5:$I$33,0)),""),"")</f>
        <v/>
      </c>
      <c r="D33" s="55" t="str">
        <f aca="false">IF(4&lt;=COUNTIF('Checklist Soporte Documental'!$H$5:$H$33,"⚠ VENCIDO"),IFERROR(INDEX('Checklist Soporte Documental'!$E$5:$E$33,MATCH(4,'Checklist Soporte Documental'!$I$5:$I$33,0)),""),"")</f>
        <v/>
      </c>
      <c r="E33" s="58" t="str">
        <f aca="false">IF(4&lt;=COUNTIF('Checklist Soporte Documental'!$H$5:$H$33,"⚠ VENCIDO"),IFERROR(INDEX('Checklist Soporte Documental'!$G$5:$G$33,MATCH(4,'Checklist Soporte Documental'!$I$5:$I$33,0)),""),"")</f>
        <v/>
      </c>
      <c r="F33" s="59" t="str">
        <f aca="true">IF(AND(4&lt;=COUNTIF('Checklist Soporte Documental'!$H$5:$H$33,"⚠ VENCIDO"),E33&lt;&gt;""),TODAY()-E33,"")</f>
        <v/>
      </c>
    </row>
    <row r="34" customFormat="false" ht="27.75" hidden="false" customHeight="true" outlineLevel="0" collapsed="false">
      <c r="A34" s="31" t="str">
        <f aca="false">IF(5&lt;=COUNTIF('Checklist Soporte Documental'!$H$5:$H$33,"⚠ VENCIDO"),IFERROR(INDEX('Checklist Soporte Documental'!$C$5:$C$33,MATCH(5,'Checklist Soporte Documental'!$I$5:$I$33,0)),""),"")</f>
        <v/>
      </c>
      <c r="B34" s="53" t="str">
        <f aca="false">IF(5&lt;=COUNTIF('Checklist Soporte Documental'!$H$5:$H$33,"⚠ VENCIDO"),IFERROR(INDEX('Checklist Soporte Documental'!$B$5:$B$33,MATCH(5,'Checklist Soporte Documental'!$I$5:$I$33,0)),""),"")</f>
        <v/>
      </c>
      <c r="C34" s="53" t="str">
        <f aca="false">IF(5&lt;=COUNTIF('Checklist Soporte Documental'!$H$5:$H$33,"⚠ VENCIDO"),IFERROR(INDEX('Checklist Soporte Documental'!$D$5:$D$33,MATCH(5,'Checklist Soporte Documental'!$I$5:$I$33,0)),""),"")</f>
        <v/>
      </c>
      <c r="D34" s="53" t="str">
        <f aca="false">IF(5&lt;=COUNTIF('Checklist Soporte Documental'!$H$5:$H$33,"⚠ VENCIDO"),IFERROR(INDEX('Checklist Soporte Documental'!$E$5:$E$33,MATCH(5,'Checklist Soporte Documental'!$I$5:$I$33,0)),""),"")</f>
        <v/>
      </c>
      <c r="E34" s="56" t="str">
        <f aca="false">IF(5&lt;=COUNTIF('Checklist Soporte Documental'!$H$5:$H$33,"⚠ VENCIDO"),IFERROR(INDEX('Checklist Soporte Documental'!$G$5:$G$33,MATCH(5,'Checklist Soporte Documental'!$I$5:$I$33,0)),""),"")</f>
        <v/>
      </c>
      <c r="F34" s="57" t="str">
        <f aca="true">IF(AND(5&lt;=COUNTIF('Checklist Soporte Documental'!$H$5:$H$33,"⚠ VENCIDO"),E34&lt;&gt;""),TODAY()-E34,"")</f>
        <v/>
      </c>
    </row>
    <row r="35" customFormat="false" ht="27.75" hidden="false" customHeight="true" outlineLevel="0" collapsed="false">
      <c r="A35" s="40" t="str">
        <f aca="false">IF(6&lt;=COUNTIF('Checklist Soporte Documental'!$H$5:$H$33,"⚠ VENCIDO"),IFERROR(INDEX('Checklist Soporte Documental'!$C$5:$C$33,MATCH(6,'Checklist Soporte Documental'!$I$5:$I$33,0)),""),"")</f>
        <v/>
      </c>
      <c r="B35" s="55" t="str">
        <f aca="false">IF(6&lt;=COUNTIF('Checklist Soporte Documental'!$H$5:$H$33,"⚠ VENCIDO"),IFERROR(INDEX('Checklist Soporte Documental'!$B$5:$B$33,MATCH(6,'Checklist Soporte Documental'!$I$5:$I$33,0)),""),"")</f>
        <v/>
      </c>
      <c r="C35" s="55" t="str">
        <f aca="false">IF(6&lt;=COUNTIF('Checklist Soporte Documental'!$H$5:$H$33,"⚠ VENCIDO"),IFERROR(INDEX('Checklist Soporte Documental'!$D$5:$D$33,MATCH(6,'Checklist Soporte Documental'!$I$5:$I$33,0)),""),"")</f>
        <v/>
      </c>
      <c r="D35" s="55" t="str">
        <f aca="false">IF(6&lt;=COUNTIF('Checklist Soporte Documental'!$H$5:$H$33,"⚠ VENCIDO"),IFERROR(INDEX('Checklist Soporte Documental'!$E$5:$E$33,MATCH(6,'Checklist Soporte Documental'!$I$5:$I$33,0)),""),"")</f>
        <v/>
      </c>
      <c r="E35" s="58" t="str">
        <f aca="false">IF(6&lt;=COUNTIF('Checklist Soporte Documental'!$H$5:$H$33,"⚠ VENCIDO"),IFERROR(INDEX('Checklist Soporte Documental'!$G$5:$G$33,MATCH(6,'Checklist Soporte Documental'!$I$5:$I$33,0)),""),"")</f>
        <v/>
      </c>
      <c r="F35" s="59" t="str">
        <f aca="true">IF(AND(6&lt;=COUNTIF('Checklist Soporte Documental'!$H$5:$H$33,"⚠ VENCIDO"),E35&lt;&gt;""),TODAY()-E35,"")</f>
        <v/>
      </c>
    </row>
    <row r="36" customFormat="false" ht="27.75" hidden="false" customHeight="true" outlineLevel="0" collapsed="false">
      <c r="A36" s="31" t="str">
        <f aca="false">IF(7&lt;=COUNTIF('Checklist Soporte Documental'!$H$5:$H$33,"⚠ VENCIDO"),IFERROR(INDEX('Checklist Soporte Documental'!$C$5:$C$33,MATCH(7,'Checklist Soporte Documental'!$I$5:$I$33,0)),""),"")</f>
        <v/>
      </c>
      <c r="B36" s="53" t="str">
        <f aca="false">IF(7&lt;=COUNTIF('Checklist Soporte Documental'!$H$5:$H$33,"⚠ VENCIDO"),IFERROR(INDEX('Checklist Soporte Documental'!$B$5:$B$33,MATCH(7,'Checklist Soporte Documental'!$I$5:$I$33,0)),""),"")</f>
        <v/>
      </c>
      <c r="C36" s="53" t="str">
        <f aca="false">IF(7&lt;=COUNTIF('Checklist Soporte Documental'!$H$5:$H$33,"⚠ VENCIDO"),IFERROR(INDEX('Checklist Soporte Documental'!$D$5:$D$33,MATCH(7,'Checklist Soporte Documental'!$I$5:$I$33,0)),""),"")</f>
        <v/>
      </c>
      <c r="D36" s="53" t="str">
        <f aca="false">IF(7&lt;=COUNTIF('Checklist Soporte Documental'!$H$5:$H$33,"⚠ VENCIDO"),IFERROR(INDEX('Checklist Soporte Documental'!$E$5:$E$33,MATCH(7,'Checklist Soporte Documental'!$I$5:$I$33,0)),""),"")</f>
        <v/>
      </c>
      <c r="E36" s="56" t="str">
        <f aca="false">IF(7&lt;=COUNTIF('Checklist Soporte Documental'!$H$5:$H$33,"⚠ VENCIDO"),IFERROR(INDEX('Checklist Soporte Documental'!$G$5:$G$33,MATCH(7,'Checklist Soporte Documental'!$I$5:$I$33,0)),""),"")</f>
        <v/>
      </c>
      <c r="F36" s="57" t="str">
        <f aca="true">IF(AND(7&lt;=COUNTIF('Checklist Soporte Documental'!$H$5:$H$33,"⚠ VENCIDO"),E36&lt;&gt;""),TODAY()-E36,"")</f>
        <v/>
      </c>
    </row>
    <row r="37" customFormat="false" ht="27.75" hidden="false" customHeight="true" outlineLevel="0" collapsed="false">
      <c r="A37" s="40" t="str">
        <f aca="false">IF(8&lt;=COUNTIF('Checklist Soporte Documental'!$H$5:$H$33,"⚠ VENCIDO"),IFERROR(INDEX('Checklist Soporte Documental'!$C$5:$C$33,MATCH(8,'Checklist Soporte Documental'!$I$5:$I$33,0)),""),"")</f>
        <v/>
      </c>
      <c r="B37" s="55" t="str">
        <f aca="false">IF(8&lt;=COUNTIF('Checklist Soporte Documental'!$H$5:$H$33,"⚠ VENCIDO"),IFERROR(INDEX('Checklist Soporte Documental'!$B$5:$B$33,MATCH(8,'Checklist Soporte Documental'!$I$5:$I$33,0)),""),"")</f>
        <v/>
      </c>
      <c r="C37" s="55" t="str">
        <f aca="false">IF(8&lt;=COUNTIF('Checklist Soporte Documental'!$H$5:$H$33,"⚠ VENCIDO"),IFERROR(INDEX('Checklist Soporte Documental'!$D$5:$D$33,MATCH(8,'Checklist Soporte Documental'!$I$5:$I$33,0)),""),"")</f>
        <v/>
      </c>
      <c r="D37" s="55" t="str">
        <f aca="false">IF(8&lt;=COUNTIF('Checklist Soporte Documental'!$H$5:$H$33,"⚠ VENCIDO"),IFERROR(INDEX('Checklist Soporte Documental'!$E$5:$E$33,MATCH(8,'Checklist Soporte Documental'!$I$5:$I$33,0)),""),"")</f>
        <v/>
      </c>
      <c r="E37" s="58" t="str">
        <f aca="false">IF(8&lt;=COUNTIF('Checklist Soporte Documental'!$H$5:$H$33,"⚠ VENCIDO"),IFERROR(INDEX('Checklist Soporte Documental'!$G$5:$G$33,MATCH(8,'Checklist Soporte Documental'!$I$5:$I$33,0)),""),"")</f>
        <v/>
      </c>
      <c r="F37" s="59" t="str">
        <f aca="true">IF(AND(8&lt;=COUNTIF('Checklist Soporte Documental'!$H$5:$H$33,"⚠ VENCIDO"),E37&lt;&gt;""),TODAY()-E37,"")</f>
        <v/>
      </c>
    </row>
    <row r="38" customFormat="false" ht="27.75" hidden="false" customHeight="true" outlineLevel="0" collapsed="false">
      <c r="A38" s="31" t="str">
        <f aca="false">IF(9&lt;=COUNTIF('Checklist Soporte Documental'!$H$5:$H$33,"⚠ VENCIDO"),IFERROR(INDEX('Checklist Soporte Documental'!$C$5:$C$33,MATCH(9,'Checklist Soporte Documental'!$I$5:$I$33,0)),""),"")</f>
        <v/>
      </c>
      <c r="B38" s="53" t="str">
        <f aca="false">IF(9&lt;=COUNTIF('Checklist Soporte Documental'!$H$5:$H$33,"⚠ VENCIDO"),IFERROR(INDEX('Checklist Soporte Documental'!$B$5:$B$33,MATCH(9,'Checklist Soporte Documental'!$I$5:$I$33,0)),""),"")</f>
        <v/>
      </c>
      <c r="C38" s="53" t="str">
        <f aca="false">IF(9&lt;=COUNTIF('Checklist Soporte Documental'!$H$5:$H$33,"⚠ VENCIDO"),IFERROR(INDEX('Checklist Soporte Documental'!$D$5:$D$33,MATCH(9,'Checklist Soporte Documental'!$I$5:$I$33,0)),""),"")</f>
        <v/>
      </c>
      <c r="D38" s="53" t="str">
        <f aca="false">IF(9&lt;=COUNTIF('Checklist Soporte Documental'!$H$5:$H$33,"⚠ VENCIDO"),IFERROR(INDEX('Checklist Soporte Documental'!$E$5:$E$33,MATCH(9,'Checklist Soporte Documental'!$I$5:$I$33,0)),""),"")</f>
        <v/>
      </c>
      <c r="E38" s="56" t="str">
        <f aca="false">IF(9&lt;=COUNTIF('Checklist Soporte Documental'!$H$5:$H$33,"⚠ VENCIDO"),IFERROR(INDEX('Checklist Soporte Documental'!$G$5:$G$33,MATCH(9,'Checklist Soporte Documental'!$I$5:$I$33,0)),""),"")</f>
        <v/>
      </c>
      <c r="F38" s="57" t="str">
        <f aca="true">IF(AND(9&lt;=COUNTIF('Checklist Soporte Documental'!$H$5:$H$33,"⚠ VENCIDO"),E38&lt;&gt;""),TODAY()-E38,"")</f>
        <v/>
      </c>
    </row>
    <row r="39" customFormat="false" ht="27.75" hidden="false" customHeight="true" outlineLevel="0" collapsed="false">
      <c r="A39" s="40" t="str">
        <f aca="false">IF(10&lt;=COUNTIF('Checklist Soporte Documental'!$H$5:$H$33,"⚠ VENCIDO"),IFERROR(INDEX('Checklist Soporte Documental'!$C$5:$C$33,MATCH(10,'Checklist Soporte Documental'!$I$5:$I$33,0)),""),"")</f>
        <v/>
      </c>
      <c r="B39" s="55" t="str">
        <f aca="false">IF(10&lt;=COUNTIF('Checklist Soporte Documental'!$H$5:$H$33,"⚠ VENCIDO"),IFERROR(INDEX('Checklist Soporte Documental'!$B$5:$B$33,MATCH(10,'Checklist Soporte Documental'!$I$5:$I$33,0)),""),"")</f>
        <v/>
      </c>
      <c r="C39" s="55" t="str">
        <f aca="false">IF(10&lt;=COUNTIF('Checklist Soporte Documental'!$H$5:$H$33,"⚠ VENCIDO"),IFERROR(INDEX('Checklist Soporte Documental'!$D$5:$D$33,MATCH(10,'Checklist Soporte Documental'!$I$5:$I$33,0)),""),"")</f>
        <v/>
      </c>
      <c r="D39" s="55" t="str">
        <f aca="false">IF(10&lt;=COUNTIF('Checklist Soporte Documental'!$H$5:$H$33,"⚠ VENCIDO"),IFERROR(INDEX('Checklist Soporte Documental'!$E$5:$E$33,MATCH(10,'Checklist Soporte Documental'!$I$5:$I$33,0)),""),"")</f>
        <v/>
      </c>
      <c r="E39" s="58" t="str">
        <f aca="false">IF(10&lt;=COUNTIF('Checklist Soporte Documental'!$H$5:$H$33,"⚠ VENCIDO"),IFERROR(INDEX('Checklist Soporte Documental'!$G$5:$G$33,MATCH(10,'Checklist Soporte Documental'!$I$5:$I$33,0)),""),"")</f>
        <v/>
      </c>
      <c r="F39" s="59" t="str">
        <f aca="true">IF(AND(10&lt;=COUNTIF('Checklist Soporte Documental'!$H$5:$H$33,"⚠ VENCIDO"),E39&lt;&gt;""),TODAY()-E39,"")</f>
        <v/>
      </c>
    </row>
    <row r="40" customFormat="false" ht="27.75" hidden="false" customHeight="true" outlineLevel="0" collapsed="false">
      <c r="A40" s="31" t="str">
        <f aca="false">IF(11&lt;=COUNTIF('Checklist Soporte Documental'!$H$5:$H$33,"⚠ VENCIDO"),IFERROR(INDEX('Checklist Soporte Documental'!$C$5:$C$33,MATCH(11,'Checklist Soporte Documental'!$I$5:$I$33,0)),""),"")</f>
        <v/>
      </c>
      <c r="B40" s="53" t="str">
        <f aca="false">IF(11&lt;=COUNTIF('Checklist Soporte Documental'!$H$5:$H$33,"⚠ VENCIDO"),IFERROR(INDEX('Checklist Soporte Documental'!$B$5:$B$33,MATCH(11,'Checklist Soporte Documental'!$I$5:$I$33,0)),""),"")</f>
        <v/>
      </c>
      <c r="C40" s="53" t="str">
        <f aca="false">IF(11&lt;=COUNTIF('Checklist Soporte Documental'!$H$5:$H$33,"⚠ VENCIDO"),IFERROR(INDEX('Checklist Soporte Documental'!$D$5:$D$33,MATCH(11,'Checklist Soporte Documental'!$I$5:$I$33,0)),""),"")</f>
        <v/>
      </c>
      <c r="D40" s="53" t="str">
        <f aca="false">IF(11&lt;=COUNTIF('Checklist Soporte Documental'!$H$5:$H$33,"⚠ VENCIDO"),IFERROR(INDEX('Checklist Soporte Documental'!$E$5:$E$33,MATCH(11,'Checklist Soporte Documental'!$I$5:$I$33,0)),""),"")</f>
        <v/>
      </c>
      <c r="E40" s="56" t="str">
        <f aca="false">IF(11&lt;=COUNTIF('Checklist Soporte Documental'!$H$5:$H$33,"⚠ VENCIDO"),IFERROR(INDEX('Checklist Soporte Documental'!$G$5:$G$33,MATCH(11,'Checklist Soporte Documental'!$I$5:$I$33,0)),""),"")</f>
        <v/>
      </c>
      <c r="F40" s="57" t="str">
        <f aca="true">IF(AND(11&lt;=COUNTIF('Checklist Soporte Documental'!$H$5:$H$33,"⚠ VENCIDO"),E40&lt;&gt;""),TODAY()-E40,"")</f>
        <v/>
      </c>
    </row>
    <row r="41" customFormat="false" ht="27.75" hidden="false" customHeight="true" outlineLevel="0" collapsed="false">
      <c r="A41" s="40" t="str">
        <f aca="false">IF(12&lt;=COUNTIF('Checklist Soporte Documental'!$H$5:$H$33,"⚠ VENCIDO"),IFERROR(INDEX('Checklist Soporte Documental'!$C$5:$C$33,MATCH(12,'Checklist Soporte Documental'!$I$5:$I$33,0)),""),"")</f>
        <v/>
      </c>
      <c r="B41" s="55" t="str">
        <f aca="false">IF(12&lt;=COUNTIF('Checklist Soporte Documental'!$H$5:$H$33,"⚠ VENCIDO"),IFERROR(INDEX('Checklist Soporte Documental'!$B$5:$B$33,MATCH(12,'Checklist Soporte Documental'!$I$5:$I$33,0)),""),"")</f>
        <v/>
      </c>
      <c r="C41" s="55" t="str">
        <f aca="false">IF(12&lt;=COUNTIF('Checklist Soporte Documental'!$H$5:$H$33,"⚠ VENCIDO"),IFERROR(INDEX('Checklist Soporte Documental'!$D$5:$D$33,MATCH(12,'Checklist Soporte Documental'!$I$5:$I$33,0)),""),"")</f>
        <v/>
      </c>
      <c r="D41" s="55" t="str">
        <f aca="false">IF(12&lt;=COUNTIF('Checklist Soporte Documental'!$H$5:$H$33,"⚠ VENCIDO"),IFERROR(INDEX('Checklist Soporte Documental'!$E$5:$E$33,MATCH(12,'Checklist Soporte Documental'!$I$5:$I$33,0)),""),"")</f>
        <v/>
      </c>
      <c r="E41" s="58" t="str">
        <f aca="false">IF(12&lt;=COUNTIF('Checklist Soporte Documental'!$H$5:$H$33,"⚠ VENCIDO"),IFERROR(INDEX('Checklist Soporte Documental'!$G$5:$G$33,MATCH(12,'Checklist Soporte Documental'!$I$5:$I$33,0)),""),"")</f>
        <v/>
      </c>
      <c r="F41" s="59" t="str">
        <f aca="true">IF(AND(12&lt;=COUNTIF('Checklist Soporte Documental'!$H$5:$H$33,"⚠ VENCIDO"),E41&lt;&gt;""),TODAY()-E41,"")</f>
        <v/>
      </c>
    </row>
    <row r="42" customFormat="false" ht="27.75" hidden="false" customHeight="true" outlineLevel="0" collapsed="false">
      <c r="A42" s="31" t="str">
        <f aca="false">IF(13&lt;=COUNTIF('Checklist Soporte Documental'!$H$5:$H$33,"⚠ VENCIDO"),IFERROR(INDEX('Checklist Soporte Documental'!$C$5:$C$33,MATCH(13,'Checklist Soporte Documental'!$I$5:$I$33,0)),""),"")</f>
        <v/>
      </c>
      <c r="B42" s="53" t="str">
        <f aca="false">IF(13&lt;=COUNTIF('Checklist Soporte Documental'!$H$5:$H$33,"⚠ VENCIDO"),IFERROR(INDEX('Checklist Soporte Documental'!$B$5:$B$33,MATCH(13,'Checklist Soporte Documental'!$I$5:$I$33,0)),""),"")</f>
        <v/>
      </c>
      <c r="C42" s="53" t="str">
        <f aca="false">IF(13&lt;=COUNTIF('Checklist Soporte Documental'!$H$5:$H$33,"⚠ VENCIDO"),IFERROR(INDEX('Checklist Soporte Documental'!$D$5:$D$33,MATCH(13,'Checklist Soporte Documental'!$I$5:$I$33,0)),""),"")</f>
        <v/>
      </c>
      <c r="D42" s="53" t="str">
        <f aca="false">IF(13&lt;=COUNTIF('Checklist Soporte Documental'!$H$5:$H$33,"⚠ VENCIDO"),IFERROR(INDEX('Checklist Soporte Documental'!$E$5:$E$33,MATCH(13,'Checklist Soporte Documental'!$I$5:$I$33,0)),""),"")</f>
        <v/>
      </c>
      <c r="E42" s="56" t="str">
        <f aca="false">IF(13&lt;=COUNTIF('Checklist Soporte Documental'!$H$5:$H$33,"⚠ VENCIDO"),IFERROR(INDEX('Checklist Soporte Documental'!$G$5:$G$33,MATCH(13,'Checklist Soporte Documental'!$I$5:$I$33,0)),""),"")</f>
        <v/>
      </c>
      <c r="F42" s="57" t="str">
        <f aca="true">IF(AND(13&lt;=COUNTIF('Checklist Soporte Documental'!$H$5:$H$33,"⚠ VENCIDO"),E42&lt;&gt;""),TODAY()-E42,"")</f>
        <v/>
      </c>
    </row>
    <row r="43" customFormat="false" ht="27.75" hidden="false" customHeight="true" outlineLevel="0" collapsed="false">
      <c r="A43" s="40" t="str">
        <f aca="false">IF(14&lt;=COUNTIF('Checklist Soporte Documental'!$H$5:$H$33,"⚠ VENCIDO"),IFERROR(INDEX('Checklist Soporte Documental'!$C$5:$C$33,MATCH(14,'Checklist Soporte Documental'!$I$5:$I$33,0)),""),"")</f>
        <v/>
      </c>
      <c r="B43" s="55" t="str">
        <f aca="false">IF(14&lt;=COUNTIF('Checklist Soporte Documental'!$H$5:$H$33,"⚠ VENCIDO"),IFERROR(INDEX('Checklist Soporte Documental'!$B$5:$B$33,MATCH(14,'Checklist Soporte Documental'!$I$5:$I$33,0)),""),"")</f>
        <v/>
      </c>
      <c r="C43" s="55" t="str">
        <f aca="false">IF(14&lt;=COUNTIF('Checklist Soporte Documental'!$H$5:$H$33,"⚠ VENCIDO"),IFERROR(INDEX('Checklist Soporte Documental'!$D$5:$D$33,MATCH(14,'Checklist Soporte Documental'!$I$5:$I$33,0)),""),"")</f>
        <v/>
      </c>
      <c r="D43" s="55" t="str">
        <f aca="false">IF(14&lt;=COUNTIF('Checklist Soporte Documental'!$H$5:$H$33,"⚠ VENCIDO"),IFERROR(INDEX('Checklist Soporte Documental'!$E$5:$E$33,MATCH(14,'Checklist Soporte Documental'!$I$5:$I$33,0)),""),"")</f>
        <v/>
      </c>
      <c r="E43" s="58" t="str">
        <f aca="false">IF(14&lt;=COUNTIF('Checklist Soporte Documental'!$H$5:$H$33,"⚠ VENCIDO"),IFERROR(INDEX('Checklist Soporte Documental'!$G$5:$G$33,MATCH(14,'Checklist Soporte Documental'!$I$5:$I$33,0)),""),"")</f>
        <v/>
      </c>
      <c r="F43" s="59" t="str">
        <f aca="true">IF(AND(14&lt;=COUNTIF('Checklist Soporte Documental'!$H$5:$H$33,"⚠ VENCIDO"),E43&lt;&gt;""),TODAY()-E43,"")</f>
        <v/>
      </c>
    </row>
    <row r="44" customFormat="false" ht="27.75" hidden="false" customHeight="true" outlineLevel="0" collapsed="false">
      <c r="A44" s="31" t="str">
        <f aca="false">IF(15&lt;=COUNTIF('Checklist Soporte Documental'!$H$5:$H$33,"⚠ VENCIDO"),IFERROR(INDEX('Checklist Soporte Documental'!$C$5:$C$33,MATCH(15,'Checklist Soporte Documental'!$I$5:$I$33,0)),""),"")</f>
        <v/>
      </c>
      <c r="B44" s="53" t="str">
        <f aca="false">IF(15&lt;=COUNTIF('Checklist Soporte Documental'!$H$5:$H$33,"⚠ VENCIDO"),IFERROR(INDEX('Checklist Soporte Documental'!$B$5:$B$33,MATCH(15,'Checklist Soporte Documental'!$I$5:$I$33,0)),""),"")</f>
        <v/>
      </c>
      <c r="C44" s="53" t="str">
        <f aca="false">IF(15&lt;=COUNTIF('Checklist Soporte Documental'!$H$5:$H$33,"⚠ VENCIDO"),IFERROR(INDEX('Checklist Soporte Documental'!$D$5:$D$33,MATCH(15,'Checklist Soporte Documental'!$I$5:$I$33,0)),""),"")</f>
        <v/>
      </c>
      <c r="D44" s="53" t="str">
        <f aca="false">IF(15&lt;=COUNTIF('Checklist Soporte Documental'!$H$5:$H$33,"⚠ VENCIDO"),IFERROR(INDEX('Checklist Soporte Documental'!$E$5:$E$33,MATCH(15,'Checklist Soporte Documental'!$I$5:$I$33,0)),""),"")</f>
        <v/>
      </c>
      <c r="E44" s="56" t="str">
        <f aca="false">IF(15&lt;=COUNTIF('Checklist Soporte Documental'!$H$5:$H$33,"⚠ VENCIDO"),IFERROR(INDEX('Checklist Soporte Documental'!$G$5:$G$33,MATCH(15,'Checklist Soporte Documental'!$I$5:$I$33,0)),""),"")</f>
        <v/>
      </c>
      <c r="F44" s="57" t="str">
        <f aca="true">IF(AND(15&lt;=COUNTIF('Checklist Soporte Documental'!$H$5:$H$33,"⚠ VENCIDO"),E44&lt;&gt;""),TODAY()-E44,"")</f>
        <v/>
      </c>
    </row>
    <row r="45" customFormat="false" ht="27.75" hidden="false" customHeight="true" outlineLevel="0" collapsed="false">
      <c r="A45" s="40" t="str">
        <f aca="false">IF(16&lt;=COUNTIF('Checklist Soporte Documental'!$H$5:$H$33,"⚠ VENCIDO"),IFERROR(INDEX('Checklist Soporte Documental'!$C$5:$C$33,MATCH(16,'Checklist Soporte Documental'!$I$5:$I$33,0)),""),"")</f>
        <v/>
      </c>
      <c r="B45" s="55" t="str">
        <f aca="false">IF(16&lt;=COUNTIF('Checklist Soporte Documental'!$H$5:$H$33,"⚠ VENCIDO"),IFERROR(INDEX('Checklist Soporte Documental'!$B$5:$B$33,MATCH(16,'Checklist Soporte Documental'!$I$5:$I$33,0)),""),"")</f>
        <v/>
      </c>
      <c r="C45" s="55" t="str">
        <f aca="false">IF(16&lt;=COUNTIF('Checklist Soporte Documental'!$H$5:$H$33,"⚠ VENCIDO"),IFERROR(INDEX('Checklist Soporte Documental'!$D$5:$D$33,MATCH(16,'Checklist Soporte Documental'!$I$5:$I$33,0)),""),"")</f>
        <v/>
      </c>
      <c r="D45" s="55" t="str">
        <f aca="false">IF(16&lt;=COUNTIF('Checklist Soporte Documental'!$H$5:$H$33,"⚠ VENCIDO"),IFERROR(INDEX('Checklist Soporte Documental'!$E$5:$E$33,MATCH(16,'Checklist Soporte Documental'!$I$5:$I$33,0)),""),"")</f>
        <v/>
      </c>
      <c r="E45" s="58" t="str">
        <f aca="false">IF(16&lt;=COUNTIF('Checklist Soporte Documental'!$H$5:$H$33,"⚠ VENCIDO"),IFERROR(INDEX('Checklist Soporte Documental'!$G$5:$G$33,MATCH(16,'Checklist Soporte Documental'!$I$5:$I$33,0)),""),"")</f>
        <v/>
      </c>
      <c r="F45" s="59" t="str">
        <f aca="true">IF(AND(16&lt;=COUNTIF('Checklist Soporte Documental'!$H$5:$H$33,"⚠ VENCIDO"),E45&lt;&gt;""),TODAY()-E45,"")</f>
        <v/>
      </c>
    </row>
    <row r="46" customFormat="false" ht="27.75" hidden="false" customHeight="true" outlineLevel="0" collapsed="false">
      <c r="A46" s="31" t="str">
        <f aca="false">IF(17&lt;=COUNTIF('Checklist Soporte Documental'!$H$5:$H$33,"⚠ VENCIDO"),IFERROR(INDEX('Checklist Soporte Documental'!$C$5:$C$33,MATCH(17,'Checklist Soporte Documental'!$I$5:$I$33,0)),""),"")</f>
        <v/>
      </c>
      <c r="B46" s="53" t="str">
        <f aca="false">IF(17&lt;=COUNTIF('Checklist Soporte Documental'!$H$5:$H$33,"⚠ VENCIDO"),IFERROR(INDEX('Checklist Soporte Documental'!$B$5:$B$33,MATCH(17,'Checklist Soporte Documental'!$I$5:$I$33,0)),""),"")</f>
        <v/>
      </c>
      <c r="C46" s="53" t="str">
        <f aca="false">IF(17&lt;=COUNTIF('Checklist Soporte Documental'!$H$5:$H$33,"⚠ VENCIDO"),IFERROR(INDEX('Checklist Soporte Documental'!$D$5:$D$33,MATCH(17,'Checklist Soporte Documental'!$I$5:$I$33,0)),""),"")</f>
        <v/>
      </c>
      <c r="D46" s="53" t="str">
        <f aca="false">IF(17&lt;=COUNTIF('Checklist Soporte Documental'!$H$5:$H$33,"⚠ VENCIDO"),IFERROR(INDEX('Checklist Soporte Documental'!$E$5:$E$33,MATCH(17,'Checklist Soporte Documental'!$I$5:$I$33,0)),""),"")</f>
        <v/>
      </c>
      <c r="E46" s="56" t="str">
        <f aca="false">IF(17&lt;=COUNTIF('Checklist Soporte Documental'!$H$5:$H$33,"⚠ VENCIDO"),IFERROR(INDEX('Checklist Soporte Documental'!$G$5:$G$33,MATCH(17,'Checklist Soporte Documental'!$I$5:$I$33,0)),""),"")</f>
        <v/>
      </c>
      <c r="F46" s="57" t="str">
        <f aca="true">IF(AND(17&lt;=COUNTIF('Checklist Soporte Documental'!$H$5:$H$33,"⚠ VENCIDO"),E46&lt;&gt;""),TODAY()-E46,"")</f>
        <v/>
      </c>
    </row>
    <row r="47" customFormat="false" ht="27.75" hidden="false" customHeight="true" outlineLevel="0" collapsed="false">
      <c r="A47" s="40" t="str">
        <f aca="false">IF(18&lt;=COUNTIF('Checklist Soporte Documental'!$H$5:$H$33,"⚠ VENCIDO"),IFERROR(INDEX('Checklist Soporte Documental'!$C$5:$C$33,MATCH(18,'Checklist Soporte Documental'!$I$5:$I$33,0)),""),"")</f>
        <v/>
      </c>
      <c r="B47" s="55" t="str">
        <f aca="false">IF(18&lt;=COUNTIF('Checklist Soporte Documental'!$H$5:$H$33,"⚠ VENCIDO"),IFERROR(INDEX('Checklist Soporte Documental'!$B$5:$B$33,MATCH(18,'Checklist Soporte Documental'!$I$5:$I$33,0)),""),"")</f>
        <v/>
      </c>
      <c r="C47" s="55" t="str">
        <f aca="false">IF(18&lt;=COUNTIF('Checklist Soporte Documental'!$H$5:$H$33,"⚠ VENCIDO"),IFERROR(INDEX('Checklist Soporte Documental'!$D$5:$D$33,MATCH(18,'Checklist Soporte Documental'!$I$5:$I$33,0)),""),"")</f>
        <v/>
      </c>
      <c r="D47" s="55" t="str">
        <f aca="false">IF(18&lt;=COUNTIF('Checklist Soporte Documental'!$H$5:$H$33,"⚠ VENCIDO"),IFERROR(INDEX('Checklist Soporte Documental'!$E$5:$E$33,MATCH(18,'Checklist Soporte Documental'!$I$5:$I$33,0)),""),"")</f>
        <v/>
      </c>
      <c r="E47" s="58" t="str">
        <f aca="false">IF(18&lt;=COUNTIF('Checklist Soporte Documental'!$H$5:$H$33,"⚠ VENCIDO"),IFERROR(INDEX('Checklist Soporte Documental'!$G$5:$G$33,MATCH(18,'Checklist Soporte Documental'!$I$5:$I$33,0)),""),"")</f>
        <v/>
      </c>
      <c r="F47" s="59" t="str">
        <f aca="true">IF(AND(18&lt;=COUNTIF('Checklist Soporte Documental'!$H$5:$H$33,"⚠ VENCIDO"),E47&lt;&gt;""),TODAY()-E47,"")</f>
        <v/>
      </c>
    </row>
    <row r="48" customFormat="false" ht="27.75" hidden="false" customHeight="true" outlineLevel="0" collapsed="false">
      <c r="A48" s="31" t="str">
        <f aca="false">IF(19&lt;=COUNTIF('Checklist Soporte Documental'!$H$5:$H$33,"⚠ VENCIDO"),IFERROR(INDEX('Checklist Soporte Documental'!$C$5:$C$33,MATCH(19,'Checklist Soporte Documental'!$I$5:$I$33,0)),""),"")</f>
        <v/>
      </c>
      <c r="B48" s="53" t="str">
        <f aca="false">IF(19&lt;=COUNTIF('Checklist Soporte Documental'!$H$5:$H$33,"⚠ VENCIDO"),IFERROR(INDEX('Checklist Soporte Documental'!$B$5:$B$33,MATCH(19,'Checklist Soporte Documental'!$I$5:$I$33,0)),""),"")</f>
        <v/>
      </c>
      <c r="C48" s="53" t="str">
        <f aca="false">IF(19&lt;=COUNTIF('Checklist Soporte Documental'!$H$5:$H$33,"⚠ VENCIDO"),IFERROR(INDEX('Checklist Soporte Documental'!$D$5:$D$33,MATCH(19,'Checklist Soporte Documental'!$I$5:$I$33,0)),""),"")</f>
        <v/>
      </c>
      <c r="D48" s="53" t="str">
        <f aca="false">IF(19&lt;=COUNTIF('Checklist Soporte Documental'!$H$5:$H$33,"⚠ VENCIDO"),IFERROR(INDEX('Checklist Soporte Documental'!$E$5:$E$33,MATCH(19,'Checklist Soporte Documental'!$I$5:$I$33,0)),""),"")</f>
        <v/>
      </c>
      <c r="E48" s="56" t="str">
        <f aca="false">IF(19&lt;=COUNTIF('Checklist Soporte Documental'!$H$5:$H$33,"⚠ VENCIDO"),IFERROR(INDEX('Checklist Soporte Documental'!$G$5:$G$33,MATCH(19,'Checklist Soporte Documental'!$I$5:$I$33,0)),""),"")</f>
        <v/>
      </c>
      <c r="F48" s="57" t="str">
        <f aca="true">IF(AND(19&lt;=COUNTIF('Checklist Soporte Documental'!$H$5:$H$33,"⚠ VENCIDO"),E48&lt;&gt;""),TODAY()-E48,"")</f>
        <v/>
      </c>
    </row>
    <row r="49" customFormat="false" ht="27.75" hidden="false" customHeight="true" outlineLevel="0" collapsed="false">
      <c r="A49" s="40" t="str">
        <f aca="false">IF(20&lt;=COUNTIF('Checklist Soporte Documental'!$H$5:$H$33,"⚠ VENCIDO"),IFERROR(INDEX('Checklist Soporte Documental'!$C$5:$C$33,MATCH(20,'Checklist Soporte Documental'!$I$5:$I$33,0)),""),"")</f>
        <v/>
      </c>
      <c r="B49" s="55" t="str">
        <f aca="false">IF(20&lt;=COUNTIF('Checklist Soporte Documental'!$H$5:$H$33,"⚠ VENCIDO"),IFERROR(INDEX('Checklist Soporte Documental'!$B$5:$B$33,MATCH(20,'Checklist Soporte Documental'!$I$5:$I$33,0)),""),"")</f>
        <v/>
      </c>
      <c r="C49" s="55" t="str">
        <f aca="false">IF(20&lt;=COUNTIF('Checklist Soporte Documental'!$H$5:$H$33,"⚠ VENCIDO"),IFERROR(INDEX('Checklist Soporte Documental'!$D$5:$D$33,MATCH(20,'Checklist Soporte Documental'!$I$5:$I$33,0)),""),"")</f>
        <v/>
      </c>
      <c r="D49" s="55" t="str">
        <f aca="false">IF(20&lt;=COUNTIF('Checklist Soporte Documental'!$H$5:$H$33,"⚠ VENCIDO"),IFERROR(INDEX('Checklist Soporte Documental'!$E$5:$E$33,MATCH(20,'Checklist Soporte Documental'!$I$5:$I$33,0)),""),"")</f>
        <v/>
      </c>
      <c r="E49" s="58" t="str">
        <f aca="false">IF(20&lt;=COUNTIF('Checklist Soporte Documental'!$H$5:$H$33,"⚠ VENCIDO"),IFERROR(INDEX('Checklist Soporte Documental'!$G$5:$G$33,MATCH(20,'Checklist Soporte Documental'!$I$5:$I$33,0)),""),"")</f>
        <v/>
      </c>
      <c r="F49" s="59" t="str">
        <f aca="true">IF(AND(20&lt;=COUNTIF('Checklist Soporte Documental'!$H$5:$H$33,"⚠ VENCIDO"),E49&lt;&gt;""),TODAY()-E49,"")</f>
        <v/>
      </c>
    </row>
    <row r="50" customFormat="false" ht="27.75" hidden="false" customHeight="true" outlineLevel="0" collapsed="false">
      <c r="A50" s="31" t="str">
        <f aca="false">IF(21&lt;=COUNTIF('Checklist Soporte Documental'!$H$5:$H$33,"⚠ VENCIDO"),IFERROR(INDEX('Checklist Soporte Documental'!$C$5:$C$33,MATCH(21,'Checklist Soporte Documental'!$I$5:$I$33,0)),""),"")</f>
        <v/>
      </c>
      <c r="B50" s="53" t="str">
        <f aca="false">IF(21&lt;=COUNTIF('Checklist Soporte Documental'!$H$5:$H$33,"⚠ VENCIDO"),IFERROR(INDEX('Checklist Soporte Documental'!$B$5:$B$33,MATCH(21,'Checklist Soporte Documental'!$I$5:$I$33,0)),""),"")</f>
        <v/>
      </c>
      <c r="C50" s="53" t="str">
        <f aca="false">IF(21&lt;=COUNTIF('Checklist Soporte Documental'!$H$5:$H$33,"⚠ VENCIDO"),IFERROR(INDEX('Checklist Soporte Documental'!$D$5:$D$33,MATCH(21,'Checklist Soporte Documental'!$I$5:$I$33,0)),""),"")</f>
        <v/>
      </c>
      <c r="D50" s="53" t="str">
        <f aca="false">IF(21&lt;=COUNTIF('Checklist Soporte Documental'!$H$5:$H$33,"⚠ VENCIDO"),IFERROR(INDEX('Checklist Soporte Documental'!$E$5:$E$33,MATCH(21,'Checklist Soporte Documental'!$I$5:$I$33,0)),""),"")</f>
        <v/>
      </c>
      <c r="E50" s="56" t="str">
        <f aca="false">IF(21&lt;=COUNTIF('Checklist Soporte Documental'!$H$5:$H$33,"⚠ VENCIDO"),IFERROR(INDEX('Checklist Soporte Documental'!$G$5:$G$33,MATCH(21,'Checklist Soporte Documental'!$I$5:$I$33,0)),""),"")</f>
        <v/>
      </c>
      <c r="F50" s="57" t="str">
        <f aca="true">IF(AND(21&lt;=COUNTIF('Checklist Soporte Documental'!$H$5:$H$33,"⚠ VENCIDO"),E50&lt;&gt;""),TODAY()-E50,"")</f>
        <v/>
      </c>
    </row>
    <row r="51" customFormat="false" ht="27.75" hidden="false" customHeight="true" outlineLevel="0" collapsed="false">
      <c r="A51" s="40" t="str">
        <f aca="false">IF(22&lt;=COUNTIF('Checklist Soporte Documental'!$H$5:$H$33,"⚠ VENCIDO"),IFERROR(INDEX('Checklist Soporte Documental'!$C$5:$C$33,MATCH(22,'Checklist Soporte Documental'!$I$5:$I$33,0)),""),"")</f>
        <v/>
      </c>
      <c r="B51" s="55" t="str">
        <f aca="false">IF(22&lt;=COUNTIF('Checklist Soporte Documental'!$H$5:$H$33,"⚠ VENCIDO"),IFERROR(INDEX('Checklist Soporte Documental'!$B$5:$B$33,MATCH(22,'Checklist Soporte Documental'!$I$5:$I$33,0)),""),"")</f>
        <v/>
      </c>
      <c r="C51" s="55" t="str">
        <f aca="false">IF(22&lt;=COUNTIF('Checklist Soporte Documental'!$H$5:$H$33,"⚠ VENCIDO"),IFERROR(INDEX('Checklist Soporte Documental'!$D$5:$D$33,MATCH(22,'Checklist Soporte Documental'!$I$5:$I$33,0)),""),"")</f>
        <v/>
      </c>
      <c r="D51" s="55" t="str">
        <f aca="false">IF(22&lt;=COUNTIF('Checklist Soporte Documental'!$H$5:$H$33,"⚠ VENCIDO"),IFERROR(INDEX('Checklist Soporte Documental'!$E$5:$E$33,MATCH(22,'Checklist Soporte Documental'!$I$5:$I$33,0)),""),"")</f>
        <v/>
      </c>
      <c r="E51" s="58" t="str">
        <f aca="false">IF(22&lt;=COUNTIF('Checklist Soporte Documental'!$H$5:$H$33,"⚠ VENCIDO"),IFERROR(INDEX('Checklist Soporte Documental'!$G$5:$G$33,MATCH(22,'Checklist Soporte Documental'!$I$5:$I$33,0)),""),"")</f>
        <v/>
      </c>
      <c r="F51" s="59" t="str">
        <f aca="true">IF(AND(22&lt;=COUNTIF('Checklist Soporte Documental'!$H$5:$H$33,"⚠ VENCIDO"),E51&lt;&gt;""),TODAY()-E51,"")</f>
        <v/>
      </c>
    </row>
    <row r="52" customFormat="false" ht="27.75" hidden="false" customHeight="true" outlineLevel="0" collapsed="false">
      <c r="A52" s="31" t="str">
        <f aca="false">IF(23&lt;=COUNTIF('Checklist Soporte Documental'!$H$5:$H$33,"⚠ VENCIDO"),IFERROR(INDEX('Checklist Soporte Documental'!$C$5:$C$33,MATCH(23,'Checklist Soporte Documental'!$I$5:$I$33,0)),""),"")</f>
        <v/>
      </c>
      <c r="B52" s="53" t="str">
        <f aca="false">IF(23&lt;=COUNTIF('Checklist Soporte Documental'!$H$5:$H$33,"⚠ VENCIDO"),IFERROR(INDEX('Checklist Soporte Documental'!$B$5:$B$33,MATCH(23,'Checklist Soporte Documental'!$I$5:$I$33,0)),""),"")</f>
        <v/>
      </c>
      <c r="C52" s="53" t="str">
        <f aca="false">IF(23&lt;=COUNTIF('Checklist Soporte Documental'!$H$5:$H$33,"⚠ VENCIDO"),IFERROR(INDEX('Checklist Soporte Documental'!$D$5:$D$33,MATCH(23,'Checklist Soporte Documental'!$I$5:$I$33,0)),""),"")</f>
        <v/>
      </c>
      <c r="D52" s="53" t="str">
        <f aca="false">IF(23&lt;=COUNTIF('Checklist Soporte Documental'!$H$5:$H$33,"⚠ VENCIDO"),IFERROR(INDEX('Checklist Soporte Documental'!$E$5:$E$33,MATCH(23,'Checklist Soporte Documental'!$I$5:$I$33,0)),""),"")</f>
        <v/>
      </c>
      <c r="E52" s="56" t="str">
        <f aca="false">IF(23&lt;=COUNTIF('Checklist Soporte Documental'!$H$5:$H$33,"⚠ VENCIDO"),IFERROR(INDEX('Checklist Soporte Documental'!$G$5:$G$33,MATCH(23,'Checklist Soporte Documental'!$I$5:$I$33,0)),""),"")</f>
        <v/>
      </c>
      <c r="F52" s="57" t="str">
        <f aca="true">IF(AND(23&lt;=COUNTIF('Checklist Soporte Documental'!$H$5:$H$33,"⚠ VENCIDO"),E52&lt;&gt;""),TODAY()-E52,"")</f>
        <v/>
      </c>
    </row>
    <row r="53" customFormat="false" ht="27.75" hidden="false" customHeight="true" outlineLevel="0" collapsed="false">
      <c r="A53" s="40" t="str">
        <f aca="false">IF(24&lt;=COUNTIF('Checklist Soporte Documental'!$H$5:$H$33,"⚠ VENCIDO"),IFERROR(INDEX('Checklist Soporte Documental'!$C$5:$C$33,MATCH(24,'Checklist Soporte Documental'!$I$5:$I$33,0)),""),"")</f>
        <v/>
      </c>
      <c r="B53" s="55" t="str">
        <f aca="false">IF(24&lt;=COUNTIF('Checklist Soporte Documental'!$H$5:$H$33,"⚠ VENCIDO"),IFERROR(INDEX('Checklist Soporte Documental'!$B$5:$B$33,MATCH(24,'Checklist Soporte Documental'!$I$5:$I$33,0)),""),"")</f>
        <v/>
      </c>
      <c r="C53" s="55" t="str">
        <f aca="false">IF(24&lt;=COUNTIF('Checklist Soporte Documental'!$H$5:$H$33,"⚠ VENCIDO"),IFERROR(INDEX('Checklist Soporte Documental'!$D$5:$D$33,MATCH(24,'Checklist Soporte Documental'!$I$5:$I$33,0)),""),"")</f>
        <v/>
      </c>
      <c r="D53" s="55" t="str">
        <f aca="false">IF(24&lt;=COUNTIF('Checklist Soporte Documental'!$H$5:$H$33,"⚠ VENCIDO"),IFERROR(INDEX('Checklist Soporte Documental'!$E$5:$E$33,MATCH(24,'Checklist Soporte Documental'!$I$5:$I$33,0)),""),"")</f>
        <v/>
      </c>
      <c r="E53" s="58" t="str">
        <f aca="false">IF(24&lt;=COUNTIF('Checklist Soporte Documental'!$H$5:$H$33,"⚠ VENCIDO"),IFERROR(INDEX('Checklist Soporte Documental'!$G$5:$G$33,MATCH(24,'Checklist Soporte Documental'!$I$5:$I$33,0)),""),"")</f>
        <v/>
      </c>
      <c r="F53" s="59" t="str">
        <f aca="true">IF(AND(24&lt;=COUNTIF('Checklist Soporte Documental'!$H$5:$H$33,"⚠ VENCIDO"),E53&lt;&gt;""),TODAY()-E53,"")</f>
        <v/>
      </c>
    </row>
    <row r="54" customFormat="false" ht="27.75" hidden="false" customHeight="true" outlineLevel="0" collapsed="false">
      <c r="A54" s="31" t="str">
        <f aca="false">IF(25&lt;=COUNTIF('Checklist Soporte Documental'!$H$5:$H$33,"⚠ VENCIDO"),IFERROR(INDEX('Checklist Soporte Documental'!$C$5:$C$33,MATCH(25,'Checklist Soporte Documental'!$I$5:$I$33,0)),""),"")</f>
        <v/>
      </c>
      <c r="B54" s="53" t="str">
        <f aca="false">IF(25&lt;=COUNTIF('Checklist Soporte Documental'!$H$5:$H$33,"⚠ VENCIDO"),IFERROR(INDEX('Checklist Soporte Documental'!$B$5:$B$33,MATCH(25,'Checklist Soporte Documental'!$I$5:$I$33,0)),""),"")</f>
        <v/>
      </c>
      <c r="C54" s="53" t="str">
        <f aca="false">IF(25&lt;=COUNTIF('Checklist Soporte Documental'!$H$5:$H$33,"⚠ VENCIDO"),IFERROR(INDEX('Checklist Soporte Documental'!$D$5:$D$33,MATCH(25,'Checklist Soporte Documental'!$I$5:$I$33,0)),""),"")</f>
        <v/>
      </c>
      <c r="D54" s="53" t="str">
        <f aca="false">IF(25&lt;=COUNTIF('Checklist Soporte Documental'!$H$5:$H$33,"⚠ VENCIDO"),IFERROR(INDEX('Checklist Soporte Documental'!$E$5:$E$33,MATCH(25,'Checklist Soporte Documental'!$I$5:$I$33,0)),""),"")</f>
        <v/>
      </c>
      <c r="E54" s="56" t="str">
        <f aca="false">IF(25&lt;=COUNTIF('Checklist Soporte Documental'!$H$5:$H$33,"⚠ VENCIDO"),IFERROR(INDEX('Checklist Soporte Documental'!$G$5:$G$33,MATCH(25,'Checklist Soporte Documental'!$I$5:$I$33,0)),""),"")</f>
        <v/>
      </c>
      <c r="F54" s="57" t="str">
        <f aca="true">IF(AND(25&lt;=COUNTIF('Checklist Soporte Documental'!$H$5:$H$33,"⚠ VENCIDO"),E54&lt;&gt;""),TODAY()-E54,"")</f>
        <v/>
      </c>
    </row>
    <row r="55" customFormat="false" ht="27.75" hidden="false" customHeight="true" outlineLevel="0" collapsed="false">
      <c r="A55" s="40" t="str">
        <f aca="false">IF(26&lt;=COUNTIF('Checklist Soporte Documental'!$H$5:$H$33,"⚠ VENCIDO"),IFERROR(INDEX('Checklist Soporte Documental'!$C$5:$C$33,MATCH(26,'Checklist Soporte Documental'!$I$5:$I$33,0)),""),"")</f>
        <v/>
      </c>
      <c r="B55" s="55" t="str">
        <f aca="false">IF(26&lt;=COUNTIF('Checklist Soporte Documental'!$H$5:$H$33,"⚠ VENCIDO"),IFERROR(INDEX('Checklist Soporte Documental'!$B$5:$B$33,MATCH(26,'Checklist Soporte Documental'!$I$5:$I$33,0)),""),"")</f>
        <v/>
      </c>
      <c r="C55" s="55" t="str">
        <f aca="false">IF(26&lt;=COUNTIF('Checklist Soporte Documental'!$H$5:$H$33,"⚠ VENCIDO"),IFERROR(INDEX('Checklist Soporte Documental'!$D$5:$D$33,MATCH(26,'Checklist Soporte Documental'!$I$5:$I$33,0)),""),"")</f>
        <v/>
      </c>
      <c r="D55" s="55" t="str">
        <f aca="false">IF(26&lt;=COUNTIF('Checklist Soporte Documental'!$H$5:$H$33,"⚠ VENCIDO"),IFERROR(INDEX('Checklist Soporte Documental'!$E$5:$E$33,MATCH(26,'Checklist Soporte Documental'!$I$5:$I$33,0)),""),"")</f>
        <v/>
      </c>
      <c r="E55" s="58" t="str">
        <f aca="false">IF(26&lt;=COUNTIF('Checklist Soporte Documental'!$H$5:$H$33,"⚠ VENCIDO"),IFERROR(INDEX('Checklist Soporte Documental'!$G$5:$G$33,MATCH(26,'Checklist Soporte Documental'!$I$5:$I$33,0)),""),"")</f>
        <v/>
      </c>
      <c r="F55" s="59" t="str">
        <f aca="true">IF(AND(26&lt;=COUNTIF('Checklist Soporte Documental'!$H$5:$H$33,"⚠ VENCIDO"),E55&lt;&gt;""),TODAY()-E55,"")</f>
        <v/>
      </c>
    </row>
    <row r="56" customFormat="false" ht="27.75" hidden="false" customHeight="true" outlineLevel="0" collapsed="false">
      <c r="A56" s="31" t="str">
        <f aca="false">IF(27&lt;=COUNTIF('Checklist Soporte Documental'!$H$5:$H$33,"⚠ VENCIDO"),IFERROR(INDEX('Checklist Soporte Documental'!$C$5:$C$33,MATCH(27,'Checklist Soporte Documental'!$I$5:$I$33,0)),""),"")</f>
        <v/>
      </c>
      <c r="B56" s="53" t="str">
        <f aca="false">IF(27&lt;=COUNTIF('Checklist Soporte Documental'!$H$5:$H$33,"⚠ VENCIDO"),IFERROR(INDEX('Checklist Soporte Documental'!$B$5:$B$33,MATCH(27,'Checklist Soporte Documental'!$I$5:$I$33,0)),""),"")</f>
        <v/>
      </c>
      <c r="C56" s="53" t="str">
        <f aca="false">IF(27&lt;=COUNTIF('Checklist Soporte Documental'!$H$5:$H$33,"⚠ VENCIDO"),IFERROR(INDEX('Checklist Soporte Documental'!$D$5:$D$33,MATCH(27,'Checklist Soporte Documental'!$I$5:$I$33,0)),""),"")</f>
        <v/>
      </c>
      <c r="D56" s="53" t="str">
        <f aca="false">IF(27&lt;=COUNTIF('Checklist Soporte Documental'!$H$5:$H$33,"⚠ VENCIDO"),IFERROR(INDEX('Checklist Soporte Documental'!$E$5:$E$33,MATCH(27,'Checklist Soporte Documental'!$I$5:$I$33,0)),""),"")</f>
        <v/>
      </c>
      <c r="E56" s="56" t="str">
        <f aca="false">IF(27&lt;=COUNTIF('Checklist Soporte Documental'!$H$5:$H$33,"⚠ VENCIDO"),IFERROR(INDEX('Checklist Soporte Documental'!$G$5:$G$33,MATCH(27,'Checklist Soporte Documental'!$I$5:$I$33,0)),""),"")</f>
        <v/>
      </c>
      <c r="F56" s="57" t="str">
        <f aca="true">IF(AND(27&lt;=COUNTIF('Checklist Soporte Documental'!$H$5:$H$33,"⚠ VENCIDO"),E56&lt;&gt;""),TODAY()-E56,"")</f>
        <v/>
      </c>
    </row>
    <row r="57" customFormat="false" ht="27.75" hidden="false" customHeight="true" outlineLevel="0" collapsed="false">
      <c r="A57" s="40" t="str">
        <f aca="false">IF(28&lt;=COUNTIF('Checklist Soporte Documental'!$H$5:$H$33,"⚠ VENCIDO"),IFERROR(INDEX('Checklist Soporte Documental'!$C$5:$C$33,MATCH(28,'Checklist Soporte Documental'!$I$5:$I$33,0)),""),"")</f>
        <v/>
      </c>
      <c r="B57" s="55" t="str">
        <f aca="false">IF(28&lt;=COUNTIF('Checklist Soporte Documental'!$H$5:$H$33,"⚠ VENCIDO"),IFERROR(INDEX('Checklist Soporte Documental'!$B$5:$B$33,MATCH(28,'Checklist Soporte Documental'!$I$5:$I$33,0)),""),"")</f>
        <v/>
      </c>
      <c r="C57" s="55" t="str">
        <f aca="false">IF(28&lt;=COUNTIF('Checklist Soporte Documental'!$H$5:$H$33,"⚠ VENCIDO"),IFERROR(INDEX('Checklist Soporte Documental'!$D$5:$D$33,MATCH(28,'Checklist Soporte Documental'!$I$5:$I$33,0)),""),"")</f>
        <v/>
      </c>
      <c r="D57" s="55" t="str">
        <f aca="false">IF(28&lt;=COUNTIF('Checklist Soporte Documental'!$H$5:$H$33,"⚠ VENCIDO"),IFERROR(INDEX('Checklist Soporte Documental'!$E$5:$E$33,MATCH(28,'Checklist Soporte Documental'!$I$5:$I$33,0)),""),"")</f>
        <v/>
      </c>
      <c r="E57" s="58" t="str">
        <f aca="false">IF(28&lt;=COUNTIF('Checklist Soporte Documental'!$H$5:$H$33,"⚠ VENCIDO"),IFERROR(INDEX('Checklist Soporte Documental'!$G$5:$G$33,MATCH(28,'Checklist Soporte Documental'!$I$5:$I$33,0)),""),"")</f>
        <v/>
      </c>
      <c r="F57" s="59" t="str">
        <f aca="true">IF(AND(28&lt;=COUNTIF('Checklist Soporte Documental'!$H$5:$H$33,"⚠ VENCIDO"),E57&lt;&gt;""),TODAY()-E57,"")</f>
        <v/>
      </c>
    </row>
    <row r="58" customFormat="false" ht="27.75" hidden="false" customHeight="true" outlineLevel="0" collapsed="false">
      <c r="A58" s="31" t="str">
        <f aca="false">IF(29&lt;=COUNTIF('Checklist Soporte Documental'!$H$5:$H$33,"⚠ VENCIDO"),IFERROR(INDEX('Checklist Soporte Documental'!$C$5:$C$33,MATCH(29,'Checklist Soporte Documental'!$I$5:$I$33,0)),""),"")</f>
        <v/>
      </c>
      <c r="B58" s="53" t="str">
        <f aca="false">IF(29&lt;=COUNTIF('Checklist Soporte Documental'!$H$5:$H$33,"⚠ VENCIDO"),IFERROR(INDEX('Checklist Soporte Documental'!$B$5:$B$33,MATCH(29,'Checklist Soporte Documental'!$I$5:$I$33,0)),""),"")</f>
        <v/>
      </c>
      <c r="C58" s="53" t="str">
        <f aca="false">IF(29&lt;=COUNTIF('Checklist Soporte Documental'!$H$5:$H$33,"⚠ VENCIDO"),IFERROR(INDEX('Checklist Soporte Documental'!$D$5:$D$33,MATCH(29,'Checklist Soporte Documental'!$I$5:$I$33,0)),""),"")</f>
        <v/>
      </c>
      <c r="D58" s="53" t="str">
        <f aca="false">IF(29&lt;=COUNTIF('Checklist Soporte Documental'!$H$5:$H$33,"⚠ VENCIDO"),IFERROR(INDEX('Checklist Soporte Documental'!$E$5:$E$33,MATCH(29,'Checklist Soporte Documental'!$I$5:$I$33,0)),""),"")</f>
        <v/>
      </c>
      <c r="E58" s="56" t="str">
        <f aca="false">IF(29&lt;=COUNTIF('Checklist Soporte Documental'!$H$5:$H$33,"⚠ VENCIDO"),IFERROR(INDEX('Checklist Soporte Documental'!$G$5:$G$33,MATCH(29,'Checklist Soporte Documental'!$I$5:$I$33,0)),""),"")</f>
        <v/>
      </c>
      <c r="F58" s="57" t="str">
        <f aca="true">IF(AND(29&lt;=COUNTIF('Checklist Soporte Documental'!$H$5:$H$33,"⚠ VENCIDO"),E58&lt;&gt;""),TODAY()-E58,"")</f>
        <v/>
      </c>
    </row>
  </sheetData>
  <mergeCells count="6">
    <mergeCell ref="A1:E1"/>
    <mergeCell ref="A2:F2"/>
    <mergeCell ref="A4:C4"/>
    <mergeCell ref="D4:F4"/>
    <mergeCell ref="A6:F6"/>
    <mergeCell ref="A28:F28"/>
  </mergeCells>
  <conditionalFormatting sqref="D8:D26">
    <cfRule type="cellIs" priority="2" operator="equal" aboveAverage="0" equalAverage="0" bottom="0" percent="0" rank="0" text="" dxfId="11">
      <formula>"Alto"</formula>
    </cfRule>
  </conditionalFormatting>
  <conditionalFormatting sqref="F30:F58">
    <cfRule type="cellIs" priority="3" operator="greaterThan" aboveAverage="0" equalAverage="0" bottom="0" percent="0" rank="0" text="" dxfId="11">
      <formula>0</formula>
    </cfRule>
  </conditionalFormatting>
  <hyperlinks>
    <hyperlink ref="F1" r:id="rId1" location="'Inicio'!A1" display="🏠 Inicio"/>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G42"/>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pane xSplit="0" ySplit="3" topLeftCell="A4" activePane="bottomLeft" state="frozen"/>
      <selection pane="topLeft" activeCell="A1" activeCellId="0" sqref="A1"/>
      <selection pane="bottomLeft" activeCell="A1" activeCellId="0" sqref="A1"/>
    </sheetView>
  </sheetViews>
  <sheetFormatPr defaultColWidth="8.6796875" defaultRowHeight="15" zeroHeight="false" outlineLevelRow="0" outlineLevelCol="0"/>
  <cols>
    <col collapsed="false" customWidth="true" hidden="false" outlineLevel="0" max="1" min="1" style="0" width="34"/>
    <col collapsed="false" customWidth="true" hidden="false" outlineLevel="0" max="4" min="2" style="0" width="13"/>
    <col collapsed="false" customWidth="true" hidden="false" outlineLevel="0" max="5" min="5" style="0" width="10"/>
    <col collapsed="false" customWidth="true" hidden="false" outlineLevel="0" max="6" min="6" style="0" width="14"/>
    <col collapsed="false" customWidth="true" hidden="false" outlineLevel="0" max="7" min="7" style="0" width="12"/>
  </cols>
  <sheetData>
    <row r="1" customFormat="false" ht="33.75" hidden="false" customHeight="true" outlineLevel="0" collapsed="false">
      <c r="A1" s="24" t="s">
        <v>260</v>
      </c>
      <c r="B1" s="24"/>
      <c r="C1" s="24"/>
      <c r="D1" s="24"/>
      <c r="E1" s="24"/>
      <c r="F1" s="24"/>
      <c r="G1" s="14" t="s">
        <v>32</v>
      </c>
    </row>
    <row r="2" customFormat="false" ht="19.5" hidden="false" customHeight="true" outlineLevel="0" collapsed="false">
      <c r="A2" s="26" t="s">
        <v>261</v>
      </c>
      <c r="B2" s="26"/>
      <c r="C2" s="26"/>
      <c r="D2" s="26"/>
      <c r="E2" s="26"/>
      <c r="F2" s="26"/>
      <c r="G2" s="26"/>
    </row>
    <row r="3" customFormat="false" ht="6" hidden="false" customHeight="true" outlineLevel="0" collapsed="false"/>
    <row r="4" customFormat="false" ht="15" hidden="false" customHeight="false" outlineLevel="0" collapsed="false">
      <c r="A4" s="51" t="s">
        <v>262</v>
      </c>
      <c r="B4" s="51"/>
      <c r="C4" s="51"/>
      <c r="D4" s="51"/>
      <c r="E4" s="51"/>
      <c r="F4" s="51"/>
      <c r="G4" s="51"/>
    </row>
    <row r="5" customFormat="false" ht="30" hidden="false" customHeight="true" outlineLevel="0" collapsed="false">
      <c r="A5" s="60" t="s">
        <v>263</v>
      </c>
      <c r="B5" s="60" t="s">
        <v>264</v>
      </c>
      <c r="C5" s="60" t="s">
        <v>265</v>
      </c>
      <c r="D5" s="60" t="s">
        <v>266</v>
      </c>
      <c r="E5" s="60" t="s">
        <v>267</v>
      </c>
      <c r="F5" s="60" t="s">
        <v>268</v>
      </c>
      <c r="G5" s="60" t="s">
        <v>269</v>
      </c>
    </row>
    <row r="6" customFormat="false" ht="30" hidden="false" customHeight="true" outlineLevel="0" collapsed="false">
      <c r="A6" s="61" t="n">
        <f aca="false">COUNTA('Matriz de Riesgo'!$A$5:$A$23)</f>
        <v>19</v>
      </c>
      <c r="B6" s="61" t="n">
        <f aca="false">COUNTIF('Matriz de Riesgo'!$O$5:$O$23,"Alto")</f>
        <v>13</v>
      </c>
      <c r="C6" s="61" t="n">
        <f aca="false">COUNTIF('Matriz de Riesgo'!$O$5:$O$23,"Medio")</f>
        <v>6</v>
      </c>
      <c r="D6" s="61" t="n">
        <f aca="false">COUNTIF('Matriz de Riesgo'!$O$5:$O$23,"Bajo")</f>
        <v>0</v>
      </c>
      <c r="E6" s="61" t="n">
        <f aca="false">COUNTIF('Matriz de Riesgo'!$Q$5:$Q$23,"Atender ya")</f>
        <v>13</v>
      </c>
      <c r="F6" s="61" t="str">
        <f aca="false">TEXT(AVERAGE('Matriz de Riesgo'!$N$5:$N$23),"0%")</f>
        <v>0%</v>
      </c>
      <c r="G6" s="61" t="str">
        <f aca="false">COUNTIF('Checklist Soporte Documental'!$E$5:$E$33,"Completo")&amp;" / "&amp;COUNTA('Checklist Soporte Documental'!$E$5:$E$33)</f>
        <v>0 / 29</v>
      </c>
    </row>
    <row r="8" customFormat="false" ht="15" hidden="false" customHeight="false" outlineLevel="0" collapsed="false">
      <c r="A8" s="51" t="s">
        <v>270</v>
      </c>
      <c r="B8" s="51"/>
      <c r="C8" s="51"/>
      <c r="D8" s="51"/>
      <c r="E8" s="51"/>
      <c r="F8" s="51"/>
      <c r="G8" s="51"/>
    </row>
    <row r="9" customFormat="false" ht="21.75" hidden="false" customHeight="true" outlineLevel="0" collapsed="false">
      <c r="A9" s="52" t="s">
        <v>122</v>
      </c>
      <c r="B9" s="52" t="s">
        <v>251</v>
      </c>
      <c r="C9" s="52" t="s">
        <v>252</v>
      </c>
      <c r="D9" s="52" t="s">
        <v>253</v>
      </c>
      <c r="E9" s="52" t="s">
        <v>254</v>
      </c>
      <c r="F9" s="52" t="s">
        <v>271</v>
      </c>
      <c r="G9" s="52" t="s">
        <v>272</v>
      </c>
    </row>
    <row r="10" customFormat="false" ht="30" hidden="false" customHeight="true" outlineLevel="0" collapsed="false">
      <c r="A10" s="53" t="n">
        <v>1</v>
      </c>
      <c r="B10" s="53" t="n">
        <f aca="false">IFERROR(INDEX('Matriz de Riesgo'!$A$5:$A$23,MATCH($A10,'Matriz de Riesgo'!$P$5:$P$23,0)),"")</f>
        <v>1</v>
      </c>
      <c r="C10" s="53" t="str">
        <f aca="false">IFERROR(INDEX('Matriz de Riesgo'!$B$5:$B$23,MATCH($A10,'Matriz de Riesgo'!$P$5:$P$23,0)),"")</f>
        <v>A. Fiscalización e inspección laboral (STPS)</v>
      </c>
      <c r="D10" s="31" t="str">
        <f aca="false">IFERROR(INDEX('Matriz de Riesgo'!$C$5:$C$23,MATCH($A10,'Matriz de Riesgo'!$P$5:$P$23,0)),"")</f>
        <v>Nuevo Modelo de Inspección Laboral STPS 2026: la autoridad amplía la verificación de la realidad operativa del centro de trabajo (no solo documental) y cruza información entre nómina, contratos, IMSS y CFDI.</v>
      </c>
      <c r="E10" s="54" t="str">
        <f aca="false">IFERROR(INDEX('Matriz de Riesgo'!$O$5:$O$23,MATCH($A10,'Matriz de Riesgo'!$P$5:$P$23,0)),"")</f>
        <v>Alto</v>
      </c>
      <c r="F10" s="54" t="str">
        <f aca="false">IFERROR(INDEX('Matriz de Riesgo'!$Q$5:$Q$23,MATCH($A10,'Matriz de Riesgo'!$P$5:$P$23,0)),"")</f>
        <v>Atender ya</v>
      </c>
      <c r="G10" s="62" t="n">
        <f aca="false">IFERROR(INDEX('Matriz de Riesgo'!$N$5:$N$23,MATCH($A10,'Matriz de Riesgo'!$P$5:$P$23,0)),"")</f>
        <v>0</v>
      </c>
    </row>
    <row r="11" customFormat="false" ht="30" hidden="false" customHeight="true" outlineLevel="0" collapsed="false">
      <c r="A11" s="55" t="n">
        <v>2</v>
      </c>
      <c r="B11" s="55" t="n">
        <f aca="false">IFERROR(INDEX('Matriz de Riesgo'!$A$5:$A$23,MATCH($A11,'Matriz de Riesgo'!$P$5:$P$23,0)),"")</f>
        <v>3</v>
      </c>
      <c r="C11" s="55" t="str">
        <f aca="false">IFERROR(INDEX('Matriz de Riesgo'!$B$5:$B$23,MATCH($A11,'Matriz de Riesgo'!$P$5:$P$23,0)),"")</f>
        <v>A. Fiscalización e inspección laboral (STPS)</v>
      </c>
      <c r="D11" s="40" t="str">
        <f aca="false">IFERROR(INDEX('Matriz de Riesgo'!$C$5:$C$23,MATCH($A11,'Matriz de Riesgo'!$P$5:$P$23,0)),"")</f>
        <v>SIQAL: incremento superior al 400% en denuncias por vía digital respecto del canal tradicional, lo que detona visitas extraordinarias con mayor frecuencia.</v>
      </c>
      <c r="E11" s="54" t="str">
        <f aca="false">IFERROR(INDEX('Matriz de Riesgo'!$O$5:$O$23,MATCH($A11,'Matriz de Riesgo'!$P$5:$P$23,0)),"")</f>
        <v>Alto</v>
      </c>
      <c r="F11" s="54" t="str">
        <f aca="false">IFERROR(INDEX('Matriz de Riesgo'!$Q$5:$Q$23,MATCH($A11,'Matriz de Riesgo'!$P$5:$P$23,0)),"")</f>
        <v>Atender ya</v>
      </c>
      <c r="G11" s="63" t="n">
        <f aca="false">IFERROR(INDEX('Matriz de Riesgo'!$N$5:$N$23,MATCH($A11,'Matriz de Riesgo'!$P$5:$P$23,0)),"")</f>
        <v>0</v>
      </c>
    </row>
    <row r="12" customFormat="false" ht="30" hidden="false" customHeight="true" outlineLevel="0" collapsed="false">
      <c r="A12" s="53" t="n">
        <v>3</v>
      </c>
      <c r="B12" s="53" t="n">
        <f aca="false">IFERROR(INDEX('Matriz de Riesgo'!$A$5:$A$23,MATCH($A12,'Matriz de Riesgo'!$P$5:$P$23,0)),"")</f>
        <v>4</v>
      </c>
      <c r="C12" s="53" t="str">
        <f aca="false">IFERROR(INDEX('Matriz de Riesgo'!$B$5:$B$23,MATCH($A12,'Matriz de Riesgo'!$P$5:$P$23,0)),"")</f>
        <v>A. Fiscalización e inspección laboral (STPS)</v>
      </c>
      <c r="D12" s="31" t="str">
        <f aca="false">IFERROR(INDEX('Matriz de Riesgo'!$C$5:$C$23,MATCH($A12,'Matriz de Riesgo'!$P$5:$P$23,0)),"")</f>
        <v>Fiscalización focalizada y reforzada en sectores de riesgo operativo: construcción, transporte, manufactura, hidrocarburos y servicios especializados (REPSE).</v>
      </c>
      <c r="E12" s="54" t="str">
        <f aca="false">IFERROR(INDEX('Matriz de Riesgo'!$O$5:$O$23,MATCH($A12,'Matriz de Riesgo'!$P$5:$P$23,0)),"")</f>
        <v>Alto</v>
      </c>
      <c r="F12" s="54" t="str">
        <f aca="false">IFERROR(INDEX('Matriz de Riesgo'!$Q$5:$Q$23,MATCH($A12,'Matriz de Riesgo'!$P$5:$P$23,0)),"")</f>
        <v>Atender ya</v>
      </c>
      <c r="G12" s="62" t="n">
        <f aca="false">IFERROR(INDEX('Matriz de Riesgo'!$N$5:$N$23,MATCH($A12,'Matriz de Riesgo'!$P$5:$P$23,0)),"")</f>
        <v>0</v>
      </c>
    </row>
    <row r="13" customFormat="false" ht="30" hidden="false" customHeight="true" outlineLevel="0" collapsed="false">
      <c r="A13" s="55" t="n">
        <v>4</v>
      </c>
      <c r="B13" s="55" t="n">
        <f aca="false">IFERROR(INDEX('Matriz de Riesgo'!$A$5:$A$23,MATCH($A13,'Matriz de Riesgo'!$P$5:$P$23,0)),"")</f>
        <v>6</v>
      </c>
      <c r="C13" s="55" t="str">
        <f aca="false">IFERROR(INDEX('Matriz de Riesgo'!$B$5:$B$23,MATCH($A13,'Matriz de Riesgo'!$P$5:$P$23,0)),"")</f>
        <v>B. Reforma de jornada laboral (48 → 40 horas)</v>
      </c>
      <c r="D13" s="40" t="str">
        <f aca="false">IFERROR(INDEX('Matriz de Riesgo'!$C$5:$C$23,MATCH($A13,'Matriz de Riesgo'!$P$5:$P$23,0)),"")</f>
        <v>Reducción escalonada de la jornada máxima de 48 a 40 horas semanales (2026-2030), sin que pueda implicar disminución de salario ni de prestaciones; obliga a rediseñar turnos y esquemas de productividad.</v>
      </c>
      <c r="E13" s="54" t="str">
        <f aca="false">IFERROR(INDEX('Matriz de Riesgo'!$O$5:$O$23,MATCH($A13,'Matriz de Riesgo'!$P$5:$P$23,0)),"")</f>
        <v>Alto</v>
      </c>
      <c r="F13" s="54" t="str">
        <f aca="false">IFERROR(INDEX('Matriz de Riesgo'!$Q$5:$Q$23,MATCH($A13,'Matriz de Riesgo'!$P$5:$P$23,0)),"")</f>
        <v>Atender ya</v>
      </c>
      <c r="G13" s="63" t="n">
        <f aca="false">IFERROR(INDEX('Matriz de Riesgo'!$N$5:$N$23,MATCH($A13,'Matriz de Riesgo'!$P$5:$P$23,0)),"")</f>
        <v>0</v>
      </c>
    </row>
    <row r="14" customFormat="false" ht="30" hidden="false" customHeight="true" outlineLevel="0" collapsed="false">
      <c r="A14" s="53" t="n">
        <v>5</v>
      </c>
      <c r="B14" s="53" t="n">
        <f aca="false">IFERROR(INDEX('Matriz de Riesgo'!$A$5:$A$23,MATCH($A14,'Matriz de Riesgo'!$P$5:$P$23,0)),"")</f>
        <v>7</v>
      </c>
      <c r="C14" s="53" t="str">
        <f aca="false">IFERROR(INDEX('Matriz de Riesgo'!$B$5:$B$23,MATCH($A14,'Matriz de Riesgo'!$P$5:$P$23,0)),"")</f>
        <v>B. Reforma de jornada laboral (48 → 40 horas)</v>
      </c>
      <c r="D14" s="31" t="str">
        <f aca="false">IFERROR(INDEX('Matriz de Riesgo'!$C$5:$C$23,MATCH($A14,'Matriz de Riesgo'!$P$5:$P$23,0)),"")</f>
        <v>Obligación de registro electrónico de la jornada de cada trabajador (entrada y salida), con conservación de la información y disponibilidad para la autoridad.</v>
      </c>
      <c r="E14" s="54" t="str">
        <f aca="false">IFERROR(INDEX('Matriz de Riesgo'!$O$5:$O$23,MATCH($A14,'Matriz de Riesgo'!$P$5:$P$23,0)),"")</f>
        <v>Alto</v>
      </c>
      <c r="F14" s="54" t="str">
        <f aca="false">IFERROR(INDEX('Matriz de Riesgo'!$Q$5:$Q$23,MATCH($A14,'Matriz de Riesgo'!$P$5:$P$23,0)),"")</f>
        <v>Atender ya</v>
      </c>
      <c r="G14" s="62" t="n">
        <f aca="false">IFERROR(INDEX('Matriz de Riesgo'!$N$5:$N$23,MATCH($A14,'Matriz de Riesgo'!$P$5:$P$23,0)),"")</f>
        <v>0</v>
      </c>
    </row>
    <row r="15" customFormat="false" ht="30" hidden="false" customHeight="true" outlineLevel="0" collapsed="false">
      <c r="A15" s="55" t="n">
        <v>6</v>
      </c>
      <c r="B15" s="55" t="n">
        <f aca="false">IFERROR(INDEX('Matriz de Riesgo'!$A$5:$A$23,MATCH($A15,'Matriz de Riesgo'!$P$5:$P$23,0)),"")</f>
        <v>13</v>
      </c>
      <c r="C15" s="55" t="str">
        <f aca="false">IFERROR(INDEX('Matriz de Riesgo'!$B$5:$B$23,MATCH($A15,'Matriz de Riesgo'!$P$5:$P$23,0)),"")</f>
        <v>C. Justicia laboral, conciliación y criterios jurisprudenciales</v>
      </c>
      <c r="D15" s="40" t="str">
        <f aca="false">IFERROR(INDEX('Matriz de Riesgo'!$C$5:$C$23,MATCH($A15,'Matriz de Riesgo'!$P$5:$P$23,0)),"")</f>
        <v>Conciliación prejudicial obligatoria ante el Centro Federal de Conciliación y Registro Laboral (CFCRL) o los centros estatales, previa a cualquier juicio, con duración de hasta 45 días naturales.</v>
      </c>
      <c r="E15" s="54" t="str">
        <f aca="false">IFERROR(INDEX('Matriz de Riesgo'!$O$5:$O$23,MATCH($A15,'Matriz de Riesgo'!$P$5:$P$23,0)),"")</f>
        <v>Alto</v>
      </c>
      <c r="F15" s="54" t="str">
        <f aca="false">IFERROR(INDEX('Matriz de Riesgo'!$Q$5:$Q$23,MATCH($A15,'Matriz de Riesgo'!$P$5:$P$23,0)),"")</f>
        <v>Atender ya</v>
      </c>
      <c r="G15" s="63" t="n">
        <f aca="false">IFERROR(INDEX('Matriz de Riesgo'!$N$5:$N$23,MATCH($A15,'Matriz de Riesgo'!$P$5:$P$23,0)),"")</f>
        <v>0</v>
      </c>
    </row>
    <row r="16" customFormat="false" ht="30" hidden="false" customHeight="true" outlineLevel="0" collapsed="false">
      <c r="A16" s="53" t="n">
        <v>7</v>
      </c>
      <c r="B16" s="53" t="n">
        <f aca="false">IFERROR(INDEX('Matriz de Riesgo'!$A$5:$A$23,MATCH($A16,'Matriz de Riesgo'!$P$5:$P$23,0)),"")</f>
        <v>15</v>
      </c>
      <c r="C16" s="53" t="str">
        <f aca="false">IFERROR(INDEX('Matriz de Riesgo'!$B$5:$B$23,MATCH($A16,'Matriz de Riesgo'!$P$5:$P$23,0)),"")</f>
        <v>C. Justicia laboral, conciliación y criterios jurisprudenciales</v>
      </c>
      <c r="D16" s="31" t="str">
        <f aca="false">IFERROR(INDEX('Matriz de Riesgo'!$C$5:$C$23,MATCH($A16,'Matriz de Riesgo'!$P$5:$P$23,0)),"")</f>
        <v>Criterio de la SCJN que flexibiliza los requisitos formales de la prueba de inspección bajo el principio de sencillez procesal, limitando defensas basadas en tecnicismos de redacción del oferente.</v>
      </c>
      <c r="E16" s="54" t="str">
        <f aca="false">IFERROR(INDEX('Matriz de Riesgo'!$O$5:$O$23,MATCH($A16,'Matriz de Riesgo'!$P$5:$P$23,0)),"")</f>
        <v>Alto</v>
      </c>
      <c r="F16" s="54" t="str">
        <f aca="false">IFERROR(INDEX('Matriz de Riesgo'!$Q$5:$Q$23,MATCH($A16,'Matriz de Riesgo'!$P$5:$P$23,0)),"")</f>
        <v>Atender ya</v>
      </c>
      <c r="G16" s="62" t="n">
        <f aca="false">IFERROR(INDEX('Matriz de Riesgo'!$N$5:$N$23,MATCH($A16,'Matriz de Riesgo'!$P$5:$P$23,0)),"")</f>
        <v>0</v>
      </c>
    </row>
    <row r="17" customFormat="false" ht="30" hidden="false" customHeight="true" outlineLevel="0" collapsed="false">
      <c r="A17" s="55" t="n">
        <v>8</v>
      </c>
      <c r="B17" s="55" t="n">
        <f aca="false">IFERROR(INDEX('Matriz de Riesgo'!$A$5:$A$23,MATCH($A17,'Matriz de Riesgo'!$P$5:$P$23,0)),"")</f>
        <v>17</v>
      </c>
      <c r="C17" s="55" t="str">
        <f aca="false">IFERROR(INDEX('Matriz de Riesgo'!$B$5:$B$23,MATCH($A17,'Matriz de Riesgo'!$P$5:$P$23,0)),"")</f>
        <v>D. Subcontratación (REPSE) y Normas Oficiales Mexicanas</v>
      </c>
      <c r="D17" s="40" t="str">
        <f aca="false">IFERROR(INDEX('Matriz de Riesgo'!$C$5:$C$23,MATCH($A17,'Matriz de Riesgo'!$P$5:$P$23,0)),"")</f>
        <v>Fiscalización reforzada de Servicios Especializados: verificación cruzada de REPSE, ICSOE y SISUB contra la operación real del centro de trabajo, con riesgo de recalificación como relación laboral directa y responsabilidad solidaria.</v>
      </c>
      <c r="E17" s="54" t="str">
        <f aca="false">IFERROR(INDEX('Matriz de Riesgo'!$O$5:$O$23,MATCH($A17,'Matriz de Riesgo'!$P$5:$P$23,0)),"")</f>
        <v>Alto</v>
      </c>
      <c r="F17" s="54" t="str">
        <f aca="false">IFERROR(INDEX('Matriz de Riesgo'!$Q$5:$Q$23,MATCH($A17,'Matriz de Riesgo'!$P$5:$P$23,0)),"")</f>
        <v>Atender ya</v>
      </c>
      <c r="G17" s="63" t="n">
        <f aca="false">IFERROR(INDEX('Matriz de Riesgo'!$N$5:$N$23,MATCH($A17,'Matriz de Riesgo'!$P$5:$P$23,0)),"")</f>
        <v>0</v>
      </c>
    </row>
    <row r="18" customFormat="false" ht="30" hidden="false" customHeight="true" outlineLevel="0" collapsed="false">
      <c r="A18" s="53" t="n">
        <v>9</v>
      </c>
      <c r="B18" s="53" t="n">
        <f aca="false">IFERROR(INDEX('Matriz de Riesgo'!$A$5:$A$23,MATCH($A18,'Matriz de Riesgo'!$P$5:$P$23,0)),"")</f>
        <v>19</v>
      </c>
      <c r="C18" s="53" t="str">
        <f aca="false">IFERROR(INDEX('Matriz de Riesgo'!$B$5:$B$23,MATCH($A18,'Matriz de Riesgo'!$P$5:$P$23,0)),"")</f>
        <v>D. Subcontratación (REPSE) y Normas Oficiales Mexicanas</v>
      </c>
      <c r="D18" s="31" t="str">
        <f aca="false">IFERROR(INDEX('Matriz de Riesgo'!$C$5:$C$23,MATCH($A18,'Matriz de Riesgo'!$P$5:$P$23,0)),"")</f>
        <v>Discrepancias entre CFDI de nómina, registro interno de nómina y salario base de cotización ante el IMSS, detectables mediante cruces algorítmicos de la autoridad; riesgo adicional por el plazo de pago de PTU 2025 (mayo 2026 para personas morales).</v>
      </c>
      <c r="E18" s="54" t="str">
        <f aca="false">IFERROR(INDEX('Matriz de Riesgo'!$O$5:$O$23,MATCH($A18,'Matriz de Riesgo'!$P$5:$P$23,0)),"")</f>
        <v>Alto</v>
      </c>
      <c r="F18" s="54" t="str">
        <f aca="false">IFERROR(INDEX('Matriz de Riesgo'!$Q$5:$Q$23,MATCH($A18,'Matriz de Riesgo'!$P$5:$P$23,0)),"")</f>
        <v>Atender ya</v>
      </c>
      <c r="G18" s="62" t="n">
        <f aca="false">IFERROR(INDEX('Matriz de Riesgo'!$N$5:$N$23,MATCH($A18,'Matriz de Riesgo'!$P$5:$P$23,0)),"")</f>
        <v>0</v>
      </c>
    </row>
    <row r="19" customFormat="false" ht="30" hidden="false" customHeight="true" outlineLevel="0" collapsed="false">
      <c r="A19" s="55" t="n">
        <v>10</v>
      </c>
      <c r="B19" s="55" t="n">
        <f aca="false">IFERROR(INDEX('Matriz de Riesgo'!$A$5:$A$23,MATCH($A19,'Matriz de Riesgo'!$P$5:$P$23,0)),"")</f>
        <v>2</v>
      </c>
      <c r="C19" s="55" t="str">
        <f aca="false">IFERROR(INDEX('Matriz de Riesgo'!$B$5:$B$23,MATCH($A19,'Matriz de Riesgo'!$P$5:$P$23,0)),"")</f>
        <v>A. Fiscalización e inspección laboral (STPS)</v>
      </c>
      <c r="D19" s="40" t="str">
        <f aca="false">IFERROR(INDEX('Matriz de Riesgo'!$C$5:$C$23,MATCH($A19,'Matriz de Riesgo'!$P$5:$P$23,0)),"")</f>
        <v>Sistema SIDIL: detección automatizada de patrones con registro patronal activo pero sin constancias de capacitación registradas en SIRCE (DC-2/DC-3).</v>
      </c>
      <c r="E19" s="54" t="str">
        <f aca="false">IFERROR(INDEX('Matriz de Riesgo'!$O$5:$O$23,MATCH($A19,'Matriz de Riesgo'!$P$5:$P$23,0)),"")</f>
        <v>Alto</v>
      </c>
      <c r="F19" s="54" t="str">
        <f aca="false">IFERROR(INDEX('Matriz de Riesgo'!$Q$5:$Q$23,MATCH($A19,'Matriz de Riesgo'!$P$5:$P$23,0)),"")</f>
        <v>Atender ya</v>
      </c>
      <c r="G19" s="63" t="n">
        <f aca="false">IFERROR(INDEX('Matriz de Riesgo'!$N$5:$N$23,MATCH($A19,'Matriz de Riesgo'!$P$5:$P$23,0)),"")</f>
        <v>0</v>
      </c>
    </row>
    <row r="20" customFormat="false" ht="30" hidden="false" customHeight="true" outlineLevel="0" collapsed="false">
      <c r="A20" s="53" t="n">
        <v>11</v>
      </c>
      <c r="B20" s="53" t="n">
        <f aca="false">IFERROR(INDEX('Matriz de Riesgo'!$A$5:$A$23,MATCH($A20,'Matriz de Riesgo'!$P$5:$P$23,0)),"")</f>
        <v>5</v>
      </c>
      <c r="C20" s="53" t="str">
        <f aca="false">IFERROR(INDEX('Matriz de Riesgo'!$B$5:$B$23,MATCH($A20,'Matriz de Riesgo'!$P$5:$P$23,0)),"")</f>
        <v>A. Fiscalización e inspección laboral (STPS)</v>
      </c>
      <c r="D20" s="31" t="str">
        <f aca="false">IFERROR(INDEX('Matriz de Riesgo'!$C$5:$C$23,MATCH($A20,'Matriz de Riesgo'!$P$5:$P$23,0)),"")</f>
        <v>Endurecimiento de criterios sancionadores: la autoridad valora intencionalidad, gravedad, daño potencial, capacidad económica y reincidencia; multas de 50 a 1,500 UMA.</v>
      </c>
      <c r="E20" s="54" t="str">
        <f aca="false">IFERROR(INDEX('Matriz de Riesgo'!$O$5:$O$23,MATCH($A20,'Matriz de Riesgo'!$P$5:$P$23,0)),"")</f>
        <v>Alto</v>
      </c>
      <c r="F20" s="54" t="str">
        <f aca="false">IFERROR(INDEX('Matriz de Riesgo'!$Q$5:$Q$23,MATCH($A20,'Matriz de Riesgo'!$P$5:$P$23,0)),"")</f>
        <v>Atender ya</v>
      </c>
      <c r="G20" s="62" t="n">
        <f aca="false">IFERROR(INDEX('Matriz de Riesgo'!$N$5:$N$23,MATCH($A20,'Matriz de Riesgo'!$P$5:$P$23,0)),"")</f>
        <v>0</v>
      </c>
    </row>
    <row r="21" customFormat="false" ht="30" hidden="false" customHeight="true" outlineLevel="0" collapsed="false">
      <c r="A21" s="55" t="n">
        <v>12</v>
      </c>
      <c r="B21" s="55" t="n">
        <f aca="false">IFERROR(INDEX('Matriz de Riesgo'!$A$5:$A$23,MATCH($A21,'Matriz de Riesgo'!$P$5:$P$23,0)),"")</f>
        <v>8</v>
      </c>
      <c r="C21" s="55" t="str">
        <f aca="false">IFERROR(INDEX('Matriz de Riesgo'!$B$5:$B$23,MATCH($A21,'Matriz de Riesgo'!$P$5:$P$23,0)),"")</f>
        <v>B. Reforma de jornada laboral (48 → 40 horas)</v>
      </c>
      <c r="D21" s="40" t="str">
        <f aca="false">IFERROR(INDEX('Matriz de Riesgo'!$C$5:$C$23,MATCH($A21,'Matriz de Riesgo'!$P$5:$P$23,0)),"")</f>
        <v>Nuevo tope de horas extraordinarias (9 h/semana en 2026, escalando a 12 h en 2030) con sanción salarial del 200% sobre el excedente; jornada total no puede superar 12 horas diarias.</v>
      </c>
      <c r="E21" s="54" t="str">
        <f aca="false">IFERROR(INDEX('Matriz de Riesgo'!$O$5:$O$23,MATCH($A21,'Matriz de Riesgo'!$P$5:$P$23,0)),"")</f>
        <v>Alto</v>
      </c>
      <c r="F21" s="54" t="str">
        <f aca="false">IFERROR(INDEX('Matriz de Riesgo'!$Q$5:$Q$23,MATCH($A21,'Matriz de Riesgo'!$P$5:$P$23,0)),"")</f>
        <v>Atender ya</v>
      </c>
      <c r="G21" s="63" t="n">
        <f aca="false">IFERROR(INDEX('Matriz de Riesgo'!$N$5:$N$23,MATCH($A21,'Matriz de Riesgo'!$P$5:$P$23,0)),"")</f>
        <v>0</v>
      </c>
    </row>
    <row r="22" customFormat="false" ht="30" hidden="false" customHeight="true" outlineLevel="0" collapsed="false">
      <c r="A22" s="53" t="n">
        <v>13</v>
      </c>
      <c r="B22" s="53" t="n">
        <f aca="false">IFERROR(INDEX('Matriz de Riesgo'!$A$5:$A$23,MATCH($A22,'Matriz de Riesgo'!$P$5:$P$23,0)),"")</f>
        <v>16</v>
      </c>
      <c r="C22" s="53" t="str">
        <f aca="false">IFERROR(INDEX('Matriz de Riesgo'!$B$5:$B$23,MATCH($A22,'Matriz de Riesgo'!$P$5:$P$23,0)),"")</f>
        <v>C. Justicia laboral, conciliación y criterios jurisprudenciales</v>
      </c>
      <c r="D22" s="31" t="str">
        <f aca="false">IFERROR(INDEX('Matriz de Riesgo'!$C$5:$C$23,MATCH($A22,'Matriz de Riesgo'!$P$5:$P$23,0)),"")</f>
        <v>Reforzamiento del principio de primacía de la realidad en criterios recientes de la SCJN: prevalece la relación de hecho sobre la forma documental en la calificación de la relación laboral y de beneficiarios.</v>
      </c>
      <c r="E22" s="54" t="str">
        <f aca="false">IFERROR(INDEX('Matriz de Riesgo'!$O$5:$O$23,MATCH($A22,'Matriz de Riesgo'!$P$5:$P$23,0)),"")</f>
        <v>Alto</v>
      </c>
      <c r="F22" s="54" t="str">
        <f aca="false">IFERROR(INDEX('Matriz de Riesgo'!$Q$5:$Q$23,MATCH($A22,'Matriz de Riesgo'!$P$5:$P$23,0)),"")</f>
        <v>Atender ya</v>
      </c>
      <c r="G22" s="62" t="n">
        <f aca="false">IFERROR(INDEX('Matriz de Riesgo'!$N$5:$N$23,MATCH($A22,'Matriz de Riesgo'!$P$5:$P$23,0)),"")</f>
        <v>0</v>
      </c>
    </row>
    <row r="23" customFormat="false" ht="30" hidden="false" customHeight="true" outlineLevel="0" collapsed="false">
      <c r="A23" s="55" t="n">
        <v>14</v>
      </c>
      <c r="B23" s="55" t="n">
        <f aca="false">IFERROR(INDEX('Matriz de Riesgo'!$A$5:$A$23,MATCH($A23,'Matriz de Riesgo'!$P$5:$P$23,0)),"")</f>
        <v>9</v>
      </c>
      <c r="C23" s="55" t="str">
        <f aca="false">IFERROR(INDEX('Matriz de Riesgo'!$B$5:$B$23,MATCH($A23,'Matriz de Riesgo'!$P$5:$P$23,0)),"")</f>
        <v>B. Reforma de jornada laboral (48 → 40 horas)</v>
      </c>
      <c r="D23" s="40" t="str">
        <f aca="false">IFERROR(INDEX('Matriz de Riesgo'!$C$5:$C$23,MATCH($A23,'Matriz de Riesgo'!$P$5:$P$23,0)),"")</f>
        <v>"Ley Silla": obligación de proporcionar asientos con respaldo y permitir descanso periódico cuando la naturaleza de las funciones lo permita.</v>
      </c>
      <c r="E23" s="54" t="str">
        <f aca="false">IFERROR(INDEX('Matriz de Riesgo'!$O$5:$O$23,MATCH($A23,'Matriz de Riesgo'!$P$5:$P$23,0)),"")</f>
        <v>Medio</v>
      </c>
      <c r="F23" s="54" t="str">
        <f aca="false">IFERROR(INDEX('Matriz de Riesgo'!$Q$5:$Q$23,MATCH($A23,'Matriz de Riesgo'!$P$5:$P$23,0)),"")</f>
        <v>En seguimiento</v>
      </c>
      <c r="G23" s="63" t="n">
        <f aca="false">IFERROR(INDEX('Matriz de Riesgo'!$N$5:$N$23,MATCH($A23,'Matriz de Riesgo'!$P$5:$P$23,0)),"")</f>
        <v>0</v>
      </c>
    </row>
    <row r="24" customFormat="false" ht="30" hidden="false" customHeight="true" outlineLevel="0" collapsed="false">
      <c r="A24" s="53" t="n">
        <v>15</v>
      </c>
      <c r="B24" s="53" t="n">
        <f aca="false">IFERROR(INDEX('Matriz de Riesgo'!$A$5:$A$23,MATCH($A24,'Matriz de Riesgo'!$P$5:$P$23,0)),"")</f>
        <v>10</v>
      </c>
      <c r="C24" s="53" t="str">
        <f aca="false">IFERROR(INDEX('Matriz de Riesgo'!$B$5:$B$23,MATCH($A24,'Matriz de Riesgo'!$P$5:$P$23,0)),"")</f>
        <v>B. Reforma de jornada laboral (48 → 40 horas)</v>
      </c>
      <c r="D24" s="31" t="str">
        <f aca="false">IFERROR(INDEX('Matriz de Riesgo'!$C$5:$C$23,MATCH($A24,'Matriz de Riesgo'!$P$5:$P$23,0)),"")</f>
        <v>Desconexión digital: prohibición de sancionar o tomar represalias contra el trabajador que no responda comunicaciones fuera de su jornada.</v>
      </c>
      <c r="E24" s="54" t="str">
        <f aca="false">IFERROR(INDEX('Matriz de Riesgo'!$O$5:$O$23,MATCH($A24,'Matriz de Riesgo'!$P$5:$P$23,0)),"")</f>
        <v>Medio</v>
      </c>
      <c r="F24" s="54" t="str">
        <f aca="false">IFERROR(INDEX('Matriz de Riesgo'!$Q$5:$Q$23,MATCH($A24,'Matriz de Riesgo'!$P$5:$P$23,0)),"")</f>
        <v>En seguimiento</v>
      </c>
      <c r="G24" s="62" t="n">
        <f aca="false">IFERROR(INDEX('Matriz de Riesgo'!$N$5:$N$23,MATCH($A24,'Matriz de Riesgo'!$P$5:$P$23,0)),"")</f>
        <v>0</v>
      </c>
    </row>
    <row r="25" customFormat="false" ht="30" hidden="false" customHeight="true" outlineLevel="0" collapsed="false">
      <c r="A25" s="55" t="n">
        <v>16</v>
      </c>
      <c r="B25" s="55" t="n">
        <f aca="false">IFERROR(INDEX('Matriz de Riesgo'!$A$5:$A$23,MATCH($A25,'Matriz de Riesgo'!$P$5:$P$23,0)),"")</f>
        <v>11</v>
      </c>
      <c r="C25" s="55" t="str">
        <f aca="false">IFERROR(INDEX('Matriz de Riesgo'!$B$5:$B$23,MATCH($A25,'Matriz de Riesgo'!$P$5:$P$23,0)),"")</f>
        <v>B. Reforma de jornada laboral (48 → 40 horas)</v>
      </c>
      <c r="D25" s="40" t="str">
        <f aca="false">IFERROR(INDEX('Matriz de Riesgo'!$C$5:$C$23,MATCH($A25,'Matriz de Riesgo'!$P$5:$P$23,0)),"")</f>
        <v>Transparencia salarial: prohibición de ofertas de empleo con sueldo oculto (debe mostrarse salario neto y prestaciones) y prohibición de reducir unilateralmente el salario pactado.</v>
      </c>
      <c r="E25" s="54" t="str">
        <f aca="false">IFERROR(INDEX('Matriz de Riesgo'!$O$5:$O$23,MATCH($A25,'Matriz de Riesgo'!$P$5:$P$23,0)),"")</f>
        <v>Medio</v>
      </c>
      <c r="F25" s="54" t="str">
        <f aca="false">IFERROR(INDEX('Matriz de Riesgo'!$Q$5:$Q$23,MATCH($A25,'Matriz de Riesgo'!$P$5:$P$23,0)),"")</f>
        <v>En seguimiento</v>
      </c>
      <c r="G25" s="63" t="n">
        <f aca="false">IFERROR(INDEX('Matriz de Riesgo'!$N$5:$N$23,MATCH($A25,'Matriz de Riesgo'!$P$5:$P$23,0)),"")</f>
        <v>0</v>
      </c>
    </row>
    <row r="26" customFormat="false" ht="30" hidden="false" customHeight="true" outlineLevel="0" collapsed="false">
      <c r="A26" s="53" t="n">
        <v>17</v>
      </c>
      <c r="B26" s="53" t="n">
        <f aca="false">IFERROR(INDEX('Matriz de Riesgo'!$A$5:$A$23,MATCH($A26,'Matriz de Riesgo'!$P$5:$P$23,0)),"")</f>
        <v>12</v>
      </c>
      <c r="C26" s="53" t="str">
        <f aca="false">IFERROR(INDEX('Matriz de Riesgo'!$B$5:$B$23,MATCH($A26,'Matriz de Riesgo'!$P$5:$P$23,0)),"")</f>
        <v>B. Reforma de jornada laboral (48 → 40 horas)</v>
      </c>
      <c r="D26" s="31" t="str">
        <f aca="false">IFERROR(INDEX('Matriz de Riesgo'!$C$5:$C$23,MATCH($A26,'Matriz de Riesgo'!$P$5:$P$23,0)),"")</f>
        <v>Sello de cumplimiento STPS: certificado que acredita el cumplimiento integral de obligaciones patronales, relevante para licitaciones y cadenas de suministro.</v>
      </c>
      <c r="E26" s="54" t="str">
        <f aca="false">IFERROR(INDEX('Matriz de Riesgo'!$O$5:$O$23,MATCH($A26,'Matriz de Riesgo'!$P$5:$P$23,0)),"")</f>
        <v>Medio</v>
      </c>
      <c r="F26" s="54" t="str">
        <f aca="false">IFERROR(INDEX('Matriz de Riesgo'!$Q$5:$Q$23,MATCH($A26,'Matriz de Riesgo'!$P$5:$P$23,0)),"")</f>
        <v>En seguimiento</v>
      </c>
      <c r="G26" s="62" t="n">
        <f aca="false">IFERROR(INDEX('Matriz de Riesgo'!$N$5:$N$23,MATCH($A26,'Matriz de Riesgo'!$P$5:$P$23,0)),"")</f>
        <v>0</v>
      </c>
    </row>
    <row r="27" customFormat="false" ht="30" hidden="false" customHeight="true" outlineLevel="0" collapsed="false">
      <c r="A27" s="55" t="n">
        <v>18</v>
      </c>
      <c r="B27" s="55" t="n">
        <f aca="false">IFERROR(INDEX('Matriz de Riesgo'!$A$5:$A$23,MATCH($A27,'Matriz de Riesgo'!$P$5:$P$23,0)),"")</f>
        <v>14</v>
      </c>
      <c r="C27" s="55" t="str">
        <f aca="false">IFERROR(INDEX('Matriz de Riesgo'!$B$5:$B$23,MATCH($A27,'Matriz de Riesgo'!$P$5:$P$23,0)),"")</f>
        <v>C. Justicia laboral, conciliación y criterios jurisprudenciales</v>
      </c>
      <c r="D27" s="40" t="str">
        <f aca="false">IFERROR(INDEX('Matriz de Riesgo'!$C$5:$C$23,MATCH($A27,'Matriz de Riesgo'!$P$5:$P$23,0)),"")</f>
        <v>Criterio del Pleno de la SCJN sobre competencia territorial en amparo directo: se determina conforme al domicilio de la junta de conciliación y arbitraje que emitió el laudo, aun si esta fue sustituida o desaparecida.</v>
      </c>
      <c r="E27" s="54" t="str">
        <f aca="false">IFERROR(INDEX('Matriz de Riesgo'!$O$5:$O$23,MATCH($A27,'Matriz de Riesgo'!$P$5:$P$23,0)),"")</f>
        <v>Medio</v>
      </c>
      <c r="F27" s="54" t="str">
        <f aca="false">IFERROR(INDEX('Matriz de Riesgo'!$Q$5:$Q$23,MATCH($A27,'Matriz de Riesgo'!$P$5:$P$23,0)),"")</f>
        <v>En seguimiento</v>
      </c>
      <c r="G27" s="63" t="n">
        <f aca="false">IFERROR(INDEX('Matriz de Riesgo'!$N$5:$N$23,MATCH($A27,'Matriz de Riesgo'!$P$5:$P$23,0)),"")</f>
        <v>0</v>
      </c>
    </row>
    <row r="28" customFormat="false" ht="30" hidden="false" customHeight="true" outlineLevel="0" collapsed="false">
      <c r="A28" s="53" t="n">
        <v>19</v>
      </c>
      <c r="B28" s="53" t="n">
        <f aca="false">IFERROR(INDEX('Matriz de Riesgo'!$A$5:$A$23,MATCH($A28,'Matriz de Riesgo'!$P$5:$P$23,0)),"")</f>
        <v>18</v>
      </c>
      <c r="C28" s="53" t="str">
        <f aca="false">IFERROR(INDEX('Matriz de Riesgo'!$B$5:$B$23,MATCH($A28,'Matriz de Riesgo'!$P$5:$P$23,0)),"")</f>
        <v>D. Subcontratación (REPSE) y Normas Oficiales Mexicanas</v>
      </c>
      <c r="D28" s="31" t="str">
        <f aca="false">IFERROR(INDEX('Matriz de Riesgo'!$C$5:$C$23,MATCH($A28,'Matriz de Riesgo'!$P$5:$P$23,0)),"")</f>
        <v>Cumplimiento documental insuficiente en NOM-035 (riesgo psicosocial) y NOM-037 (teletrabajo/home office): falta de diagnóstico, políticas escritas y evidencia de gastos de conectividad y condiciones ergonómicas.</v>
      </c>
      <c r="E28" s="54" t="str">
        <f aca="false">IFERROR(INDEX('Matriz de Riesgo'!$O$5:$O$23,MATCH($A28,'Matriz de Riesgo'!$P$5:$P$23,0)),"")</f>
        <v>Medio</v>
      </c>
      <c r="F28" s="54" t="str">
        <f aca="false">IFERROR(INDEX('Matriz de Riesgo'!$Q$5:$Q$23,MATCH($A28,'Matriz de Riesgo'!$P$5:$P$23,0)),"")</f>
        <v>En seguimiento</v>
      </c>
      <c r="G28" s="62" t="n">
        <f aca="false">IFERROR(INDEX('Matriz de Riesgo'!$N$5:$N$23,MATCH($A28,'Matriz de Riesgo'!$P$5:$P$23,0)),"")</f>
        <v>0</v>
      </c>
    </row>
    <row r="30" customFormat="false" ht="15" hidden="false" customHeight="false" outlineLevel="0" collapsed="false">
      <c r="A30" s="51" t="s">
        <v>273</v>
      </c>
      <c r="B30" s="51"/>
      <c r="C30" s="51"/>
      <c r="D30" s="51"/>
      <c r="E30" s="51"/>
      <c r="F30" s="51"/>
      <c r="G30" s="51"/>
    </row>
    <row r="31" customFormat="false" ht="21.75" hidden="false" customHeight="true" outlineLevel="0" collapsed="false">
      <c r="A31" s="52" t="s">
        <v>252</v>
      </c>
      <c r="B31" s="52" t="s">
        <v>128</v>
      </c>
      <c r="C31" s="52" t="s">
        <v>132</v>
      </c>
      <c r="D31" s="52" t="s">
        <v>274</v>
      </c>
      <c r="E31" s="52" t="s">
        <v>275</v>
      </c>
      <c r="F31" s="52" t="s">
        <v>276</v>
      </c>
    </row>
    <row r="32" customFormat="false" ht="31.5" hidden="false" customHeight="true" outlineLevel="0" collapsed="false">
      <c r="A32" s="64" t="s">
        <v>124</v>
      </c>
      <c r="B32" s="35" t="n">
        <f aca="false">COUNTIFS('Matriz de Riesgo'!$B$5:$B$23,$A32,'Matriz de Riesgo'!$O$5:$O$23,"Alto")</f>
        <v>5</v>
      </c>
      <c r="C32" s="35" t="n">
        <f aca="false">COUNTIFS('Matriz de Riesgo'!$B$5:$B$23,$A32,'Matriz de Riesgo'!$O$5:$O$23,"Medio")</f>
        <v>0</v>
      </c>
      <c r="D32" s="35" t="n">
        <f aca="false">COUNTIFS('Matriz de Riesgo'!$B$5:$B$23,$A32,'Matriz de Riesgo'!$O$5:$O$23,"Bajo")</f>
        <v>0</v>
      </c>
      <c r="E32" s="35" t="n">
        <f aca="false">B32+C32+D32</f>
        <v>5</v>
      </c>
      <c r="F32" s="35" t="str">
        <f aca="false">IFERROR(TEXT(AVERAGEIF('Matriz de Riesgo'!$B$5:$B$23,$A32,'Matriz de Riesgo'!$N$5:$N$23),"0%"),"N/D")</f>
        <v>0%</v>
      </c>
    </row>
    <row r="33" customFormat="false" ht="31.5" hidden="false" customHeight="true" outlineLevel="0" collapsed="false">
      <c r="A33" s="65" t="s">
        <v>144</v>
      </c>
      <c r="B33" s="42" t="n">
        <f aca="false">COUNTIFS('Matriz de Riesgo'!$B$5:$B$23,$A33,'Matriz de Riesgo'!$O$5:$O$23,"Alto")</f>
        <v>3</v>
      </c>
      <c r="C33" s="42" t="n">
        <f aca="false">COUNTIFS('Matriz de Riesgo'!$B$5:$B$23,$A33,'Matriz de Riesgo'!$O$5:$O$23,"Medio")</f>
        <v>4</v>
      </c>
      <c r="D33" s="42" t="n">
        <f aca="false">COUNTIFS('Matriz de Riesgo'!$B$5:$B$23,$A33,'Matriz de Riesgo'!$O$5:$O$23,"Bajo")</f>
        <v>0</v>
      </c>
      <c r="E33" s="42" t="n">
        <f aca="false">B33+C33+D33</f>
        <v>7</v>
      </c>
      <c r="F33" s="42" t="str">
        <f aca="false">IFERROR(TEXT(AVERAGEIF('Matriz de Riesgo'!$B$5:$B$23,$A33,'Matriz de Riesgo'!$N$5:$N$23),"0%"),"N/D")</f>
        <v>0%</v>
      </c>
    </row>
    <row r="34" customFormat="false" ht="31.5" hidden="false" customHeight="true" outlineLevel="0" collapsed="false">
      <c r="A34" s="64" t="s">
        <v>166</v>
      </c>
      <c r="B34" s="35" t="n">
        <f aca="false">COUNTIFS('Matriz de Riesgo'!$B$5:$B$23,$A34,'Matriz de Riesgo'!$O$5:$O$23,"Alto")</f>
        <v>3</v>
      </c>
      <c r="C34" s="35" t="n">
        <f aca="false">COUNTIFS('Matriz de Riesgo'!$B$5:$B$23,$A34,'Matriz de Riesgo'!$O$5:$O$23,"Medio")</f>
        <v>1</v>
      </c>
      <c r="D34" s="35" t="n">
        <f aca="false">COUNTIFS('Matriz de Riesgo'!$B$5:$B$23,$A34,'Matriz de Riesgo'!$O$5:$O$23,"Bajo")</f>
        <v>0</v>
      </c>
      <c r="E34" s="35" t="n">
        <f aca="false">B34+C34+D34</f>
        <v>4</v>
      </c>
      <c r="F34" s="35" t="str">
        <f aca="false">IFERROR(TEXT(AVERAGEIF('Matriz de Riesgo'!$B$5:$B$23,$A34,'Matriz de Riesgo'!$N$5:$N$23),"0%"),"N/D")</f>
        <v>0%</v>
      </c>
    </row>
    <row r="35" customFormat="false" ht="31.5" hidden="false" customHeight="true" outlineLevel="0" collapsed="false">
      <c r="A35" s="65" t="s">
        <v>179</v>
      </c>
      <c r="B35" s="42" t="n">
        <f aca="false">COUNTIFS('Matriz de Riesgo'!$B$5:$B$23,$A35,'Matriz de Riesgo'!$O$5:$O$23,"Alto")</f>
        <v>2</v>
      </c>
      <c r="C35" s="42" t="n">
        <f aca="false">COUNTIFS('Matriz de Riesgo'!$B$5:$B$23,$A35,'Matriz de Riesgo'!$O$5:$O$23,"Medio")</f>
        <v>1</v>
      </c>
      <c r="D35" s="42" t="n">
        <f aca="false">COUNTIFS('Matriz de Riesgo'!$B$5:$B$23,$A35,'Matriz de Riesgo'!$O$5:$O$23,"Bajo")</f>
        <v>0</v>
      </c>
      <c r="E35" s="42" t="n">
        <f aca="false">B35+C35+D35</f>
        <v>3</v>
      </c>
      <c r="F35" s="42" t="str">
        <f aca="false">IFERROR(TEXT(AVERAGEIF('Matriz de Riesgo'!$B$5:$B$23,$A35,'Matriz de Riesgo'!$N$5:$N$23),"0%"),"N/D")</f>
        <v>0%</v>
      </c>
    </row>
    <row r="37" customFormat="false" ht="15" hidden="false" customHeight="false" outlineLevel="0" collapsed="false">
      <c r="A37" s="51" t="s">
        <v>277</v>
      </c>
      <c r="B37" s="51"/>
      <c r="C37" s="51"/>
      <c r="D37" s="51"/>
      <c r="E37" s="51"/>
      <c r="F37" s="51"/>
      <c r="G37" s="51"/>
    </row>
    <row r="38" customFormat="false" ht="21.75" hidden="false" customHeight="true" outlineLevel="0" collapsed="false">
      <c r="A38" s="52" t="s">
        <v>252</v>
      </c>
      <c r="B38" s="52" t="s">
        <v>278</v>
      </c>
      <c r="C38" s="52" t="s">
        <v>279</v>
      </c>
      <c r="D38" s="52" t="s">
        <v>198</v>
      </c>
      <c r="E38" s="52" t="s">
        <v>280</v>
      </c>
      <c r="F38" s="52" t="s">
        <v>275</v>
      </c>
      <c r="G38" s="52" t="s">
        <v>281</v>
      </c>
    </row>
    <row r="39" customFormat="false" ht="31.5" hidden="false" customHeight="true" outlineLevel="0" collapsed="false">
      <c r="A39" s="64" t="s">
        <v>124</v>
      </c>
      <c r="B39" s="35" t="n">
        <f aca="false">COUNTIFS('Checklist Soporte Documental'!$B$5:$B$33,$A39,'Checklist Soporte Documental'!$E$5:$E$33,"Completo")</f>
        <v>0</v>
      </c>
      <c r="C39" s="35" t="n">
        <f aca="false">COUNTIFS('Checklist Soporte Documental'!$B$5:$B$33,$A39,'Checklist Soporte Documental'!$E$5:$E$33,"En proceso")</f>
        <v>0</v>
      </c>
      <c r="D39" s="35" t="n">
        <f aca="false">COUNTIFS('Checklist Soporte Documental'!$B$5:$B$33,$A39,'Checklist Soporte Documental'!$E$5:$E$33,"Pendiente")</f>
        <v>10</v>
      </c>
      <c r="E39" s="35" t="n">
        <f aca="false">COUNTIFS('Checklist Soporte Documental'!$B$5:$B$33,$A39,'Checklist Soporte Documental'!$E$5:$E$33,"No aplica")</f>
        <v>0</v>
      </c>
      <c r="F39" s="35" t="n">
        <f aca="false">B39+C39+D39+E39</f>
        <v>10</v>
      </c>
      <c r="G39" s="35" t="str">
        <f aca="false">IFERROR(TEXT(B39/F39,"0%"),"N/D")</f>
        <v>0%</v>
      </c>
    </row>
    <row r="40" customFormat="false" ht="31.5" hidden="false" customHeight="true" outlineLevel="0" collapsed="false">
      <c r="A40" s="65" t="s">
        <v>144</v>
      </c>
      <c r="B40" s="42" t="n">
        <f aca="false">COUNTIFS('Checklist Soporte Documental'!$B$5:$B$33,$A40,'Checklist Soporte Documental'!$E$5:$E$33,"Completo")</f>
        <v>0</v>
      </c>
      <c r="C40" s="42" t="n">
        <f aca="false">COUNTIFS('Checklist Soporte Documental'!$B$5:$B$33,$A40,'Checklist Soporte Documental'!$E$5:$E$33,"En proceso")</f>
        <v>0</v>
      </c>
      <c r="D40" s="42" t="n">
        <f aca="false">COUNTIFS('Checklist Soporte Documental'!$B$5:$B$33,$A40,'Checklist Soporte Documental'!$E$5:$E$33,"Pendiente")</f>
        <v>8</v>
      </c>
      <c r="E40" s="42" t="n">
        <f aca="false">COUNTIFS('Checklist Soporte Documental'!$B$5:$B$33,$A40,'Checklist Soporte Documental'!$E$5:$E$33,"No aplica")</f>
        <v>0</v>
      </c>
      <c r="F40" s="42" t="n">
        <f aca="false">B40+C40+D40+E40</f>
        <v>8</v>
      </c>
      <c r="G40" s="42" t="str">
        <f aca="false">IFERROR(TEXT(B40/F40,"0%"),"N/D")</f>
        <v>0%</v>
      </c>
    </row>
    <row r="41" customFormat="false" ht="31.5" hidden="false" customHeight="true" outlineLevel="0" collapsed="false">
      <c r="A41" s="64" t="s">
        <v>166</v>
      </c>
      <c r="B41" s="35" t="n">
        <f aca="false">COUNTIFS('Checklist Soporte Documental'!$B$5:$B$33,$A41,'Checklist Soporte Documental'!$E$5:$E$33,"Completo")</f>
        <v>0</v>
      </c>
      <c r="C41" s="35" t="n">
        <f aca="false">COUNTIFS('Checklist Soporte Documental'!$B$5:$B$33,$A41,'Checklist Soporte Documental'!$E$5:$E$33,"En proceso")</f>
        <v>0</v>
      </c>
      <c r="D41" s="35" t="n">
        <f aca="false">COUNTIFS('Checklist Soporte Documental'!$B$5:$B$33,$A41,'Checklist Soporte Documental'!$E$5:$E$33,"Pendiente")</f>
        <v>5</v>
      </c>
      <c r="E41" s="35" t="n">
        <f aca="false">COUNTIFS('Checklist Soporte Documental'!$B$5:$B$33,$A41,'Checklist Soporte Documental'!$E$5:$E$33,"No aplica")</f>
        <v>0</v>
      </c>
      <c r="F41" s="35" t="n">
        <f aca="false">B41+C41+D41+E41</f>
        <v>5</v>
      </c>
      <c r="G41" s="35" t="str">
        <f aca="false">IFERROR(TEXT(B41/F41,"0%"),"N/D")</f>
        <v>0%</v>
      </c>
    </row>
    <row r="42" customFormat="false" ht="31.5" hidden="false" customHeight="true" outlineLevel="0" collapsed="false">
      <c r="A42" s="65" t="s">
        <v>179</v>
      </c>
      <c r="B42" s="42" t="n">
        <f aca="false">COUNTIFS('Checklist Soporte Documental'!$B$5:$B$33,$A42,'Checklist Soporte Documental'!$E$5:$E$33,"Completo")</f>
        <v>0</v>
      </c>
      <c r="C42" s="42" t="n">
        <f aca="false">COUNTIFS('Checklist Soporte Documental'!$B$5:$B$33,$A42,'Checklist Soporte Documental'!$E$5:$E$33,"En proceso")</f>
        <v>0</v>
      </c>
      <c r="D42" s="42" t="n">
        <f aca="false">COUNTIFS('Checklist Soporte Documental'!$B$5:$B$33,$A42,'Checklist Soporte Documental'!$E$5:$E$33,"Pendiente")</f>
        <v>6</v>
      </c>
      <c r="E42" s="42" t="n">
        <f aca="false">COUNTIFS('Checklist Soporte Documental'!$B$5:$B$33,$A42,'Checklist Soporte Documental'!$E$5:$E$33,"No aplica")</f>
        <v>0</v>
      </c>
      <c r="F42" s="42" t="n">
        <f aca="false">B42+C42+D42+E42</f>
        <v>6</v>
      </c>
      <c r="G42" s="42" t="str">
        <f aca="false">IFERROR(TEXT(B42/F42,"0%"),"N/D")</f>
        <v>0%</v>
      </c>
    </row>
  </sheetData>
  <mergeCells count="6">
    <mergeCell ref="A1:F1"/>
    <mergeCell ref="A2:G2"/>
    <mergeCell ref="A4:G4"/>
    <mergeCell ref="A8:G8"/>
    <mergeCell ref="A30:G30"/>
    <mergeCell ref="A37:G37"/>
  </mergeCells>
  <conditionalFormatting sqref="B6">
    <cfRule type="cellIs" priority="2" operator="greaterThan" aboveAverage="0" equalAverage="0" bottom="0" percent="0" rank="0" text="" dxfId="11">
      <formula>0</formula>
    </cfRule>
  </conditionalFormatting>
  <conditionalFormatting sqref="C6">
    <cfRule type="cellIs" priority="3" operator="greaterThan" aboveAverage="0" equalAverage="0" bottom="0" percent="0" rank="0" text="" dxfId="12">
      <formula>0</formula>
    </cfRule>
  </conditionalFormatting>
  <conditionalFormatting sqref="D6">
    <cfRule type="cellIs" priority="4" operator="greaterThan" aboveAverage="0" equalAverage="0" bottom="0" percent="0" rank="0" text="" dxfId="13">
      <formula>0</formula>
    </cfRule>
  </conditionalFormatting>
  <conditionalFormatting sqref="E6">
    <cfRule type="cellIs" priority="5" operator="greaterThan" aboveAverage="0" equalAverage="0" bottom="0" percent="0" rank="0" text="" dxfId="11">
      <formula>0</formula>
    </cfRule>
  </conditionalFormatting>
  <conditionalFormatting sqref="E10:E28">
    <cfRule type="cellIs" priority="6" operator="equal" aboveAverage="0" equalAverage="0" bottom="0" percent="0" rank="0" text="" dxfId="11">
      <formula>"Alto"</formula>
    </cfRule>
    <cfRule type="cellIs" priority="7" operator="equal" aboveAverage="0" equalAverage="0" bottom="0" percent="0" rank="0" text="" dxfId="12">
      <formula>"Medio"</formula>
    </cfRule>
    <cfRule type="cellIs" priority="8" operator="equal" aboveAverage="0" equalAverage="0" bottom="0" percent="0" rank="0" text="" dxfId="13">
      <formula>"Bajo"</formula>
    </cfRule>
  </conditionalFormatting>
  <conditionalFormatting sqref="F10:F28">
    <cfRule type="cellIs" priority="9" operator="equal" aboveAverage="0" equalAverage="0" bottom="0" percent="0" rank="0" text="" dxfId="11">
      <formula>"Atender ya"</formula>
    </cfRule>
    <cfRule type="cellIs" priority="10" operator="equal" aboveAverage="0" equalAverage="0" bottom="0" percent="0" rank="0" text="" dxfId="12">
      <formula>"En seguimiento"</formula>
    </cfRule>
    <cfRule type="cellIs" priority="11" operator="equal" aboveAverage="0" equalAverage="0" bottom="0" percent="0" rank="0" text="" dxfId="13">
      <formula>"Controlado"</formula>
    </cfRule>
  </conditionalFormatting>
  <hyperlinks>
    <hyperlink ref="G1" r:id="rId1" location="'Inicio'!A1" display="🏠 Inicio"/>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D28"/>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4" min="2" style="0" width="30"/>
  </cols>
  <sheetData>
    <row r="1" customFormat="false" ht="27.75" hidden="false" customHeight="true" outlineLevel="0" collapsed="false">
      <c r="A1" s="66" t="s">
        <v>282</v>
      </c>
      <c r="B1" s="66"/>
      <c r="C1" s="66"/>
      <c r="D1" s="14" t="s">
        <v>32</v>
      </c>
    </row>
    <row r="3" customFormat="false" ht="48" hidden="false" customHeight="true" outlineLevel="0" collapsed="false">
      <c r="A3" s="46" t="s">
        <v>283</v>
      </c>
      <c r="B3" s="67" t="s">
        <v>284</v>
      </c>
      <c r="C3" s="67"/>
      <c r="D3" s="67"/>
    </row>
    <row r="5" customFormat="false" ht="48" hidden="false" customHeight="true" outlineLevel="0" collapsed="false">
      <c r="A5" s="46" t="s">
        <v>285</v>
      </c>
      <c r="B5" s="67" t="s">
        <v>286</v>
      </c>
      <c r="C5" s="67"/>
      <c r="D5" s="67"/>
    </row>
    <row r="7" customFormat="false" ht="48" hidden="false" customHeight="true" outlineLevel="0" collapsed="false">
      <c r="A7" s="46" t="s">
        <v>114</v>
      </c>
      <c r="B7" s="67" t="s">
        <v>287</v>
      </c>
      <c r="C7" s="67"/>
      <c r="D7" s="67"/>
    </row>
    <row r="9" customFormat="false" ht="48" hidden="false" customHeight="true" outlineLevel="0" collapsed="false">
      <c r="A9" s="46" t="s">
        <v>288</v>
      </c>
      <c r="B9" s="67" t="s">
        <v>289</v>
      </c>
      <c r="C9" s="67"/>
      <c r="D9" s="67"/>
    </row>
    <row r="11" customFormat="false" ht="48" hidden="false" customHeight="true" outlineLevel="0" collapsed="false">
      <c r="A11" s="46" t="s">
        <v>290</v>
      </c>
      <c r="B11" s="67" t="s">
        <v>291</v>
      </c>
      <c r="C11" s="67"/>
      <c r="D11" s="67"/>
    </row>
    <row r="13" customFormat="false" ht="48" hidden="false" customHeight="true" outlineLevel="0" collapsed="false">
      <c r="A13" s="46" t="s">
        <v>292</v>
      </c>
      <c r="B13" s="67" t="s">
        <v>293</v>
      </c>
      <c r="C13" s="67"/>
      <c r="D13" s="67"/>
    </row>
    <row r="15" customFormat="false" ht="48" hidden="false" customHeight="true" outlineLevel="0" collapsed="false">
      <c r="A15" s="46" t="s">
        <v>294</v>
      </c>
      <c r="B15" s="67" t="s">
        <v>295</v>
      </c>
      <c r="C15" s="67"/>
      <c r="D15" s="67"/>
    </row>
    <row r="17" customFormat="false" ht="48" hidden="false" customHeight="true" outlineLevel="0" collapsed="false">
      <c r="A17" s="46" t="s">
        <v>296</v>
      </c>
      <c r="B17" s="67" t="s">
        <v>297</v>
      </c>
      <c r="C17" s="67"/>
      <c r="D17" s="67"/>
    </row>
    <row r="20" customFormat="false" ht="15" hidden="false" customHeight="false" outlineLevel="0" collapsed="false">
      <c r="A20" s="51" t="s">
        <v>298</v>
      </c>
      <c r="B20" s="51"/>
      <c r="C20" s="51"/>
      <c r="D20" s="51"/>
    </row>
    <row r="21" customFormat="false" ht="15" hidden="false" customHeight="true" outlineLevel="0" collapsed="false">
      <c r="A21" s="68" t="s">
        <v>299</v>
      </c>
      <c r="B21" s="67" t="s">
        <v>300</v>
      </c>
      <c r="C21" s="67"/>
      <c r="D21" s="67"/>
    </row>
    <row r="22" customFormat="false" ht="15" hidden="false" customHeight="true" outlineLevel="0" collapsed="false">
      <c r="A22" s="68" t="s">
        <v>299</v>
      </c>
      <c r="B22" s="67" t="s">
        <v>301</v>
      </c>
      <c r="C22" s="67"/>
      <c r="D22" s="67"/>
    </row>
    <row r="23" customFormat="false" ht="15" hidden="false" customHeight="true" outlineLevel="0" collapsed="false">
      <c r="A23" s="68" t="s">
        <v>299</v>
      </c>
      <c r="B23" s="67" t="s">
        <v>302</v>
      </c>
      <c r="C23" s="67"/>
      <c r="D23" s="67"/>
    </row>
    <row r="24" customFormat="false" ht="15" hidden="false" customHeight="true" outlineLevel="0" collapsed="false">
      <c r="A24" s="68" t="s">
        <v>299</v>
      </c>
      <c r="B24" s="67" t="s">
        <v>303</v>
      </c>
      <c r="C24" s="67"/>
      <c r="D24" s="67"/>
    </row>
    <row r="25" customFormat="false" ht="23.85" hidden="false" customHeight="true" outlineLevel="0" collapsed="false">
      <c r="A25" s="68" t="s">
        <v>299</v>
      </c>
      <c r="B25" s="67" t="s">
        <v>304</v>
      </c>
      <c r="C25" s="67"/>
      <c r="D25" s="67"/>
    </row>
    <row r="26" customFormat="false" ht="15" hidden="false" customHeight="true" outlineLevel="0" collapsed="false">
      <c r="A26" s="68" t="s">
        <v>299</v>
      </c>
      <c r="B26" s="67" t="s">
        <v>305</v>
      </c>
      <c r="C26" s="67"/>
      <c r="D26" s="67"/>
    </row>
    <row r="27" customFormat="false" ht="15" hidden="false" customHeight="true" outlineLevel="0" collapsed="false">
      <c r="A27" s="68" t="s">
        <v>299</v>
      </c>
      <c r="B27" s="67" t="s">
        <v>306</v>
      </c>
      <c r="C27" s="67"/>
      <c r="D27" s="67"/>
    </row>
    <row r="28" customFormat="false" ht="15" hidden="false" customHeight="true" outlineLevel="0" collapsed="false">
      <c r="A28" s="68" t="s">
        <v>299</v>
      </c>
      <c r="B28" s="67" t="s">
        <v>307</v>
      </c>
      <c r="C28" s="67"/>
      <c r="D28" s="67"/>
    </row>
  </sheetData>
  <mergeCells count="18">
    <mergeCell ref="A1:C1"/>
    <mergeCell ref="B3:D3"/>
    <mergeCell ref="B5:D5"/>
    <mergeCell ref="B7:D7"/>
    <mergeCell ref="B9:D9"/>
    <mergeCell ref="B11:D11"/>
    <mergeCell ref="B13:D13"/>
    <mergeCell ref="B15:D15"/>
    <mergeCell ref="B17:D17"/>
    <mergeCell ref="A20:D20"/>
    <mergeCell ref="B21:D21"/>
    <mergeCell ref="B22:D22"/>
    <mergeCell ref="B23:D23"/>
    <mergeCell ref="B24:D24"/>
    <mergeCell ref="B25:D25"/>
    <mergeCell ref="B26:D26"/>
    <mergeCell ref="B27:D27"/>
    <mergeCell ref="B28:D28"/>
  </mergeCells>
  <hyperlinks>
    <hyperlink ref="D1" r:id="rId1" location="'Inicio'!A1" display="🏠 Inicio"/>
  </hyperlink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2026-08-25T19:19:35Z</dcterms:created>
  <dc:creator>openpyxl</dc:creator>
  <dc:description/>
  <dc:language>en-US</dc:language>
  <cp:lastModifiedBy/>
  <dcterms:modified xsi:type="dcterms:W3CDTF">2026-08-25T19:19:35Z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